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showInkAnnotation="0" defaultThemeVersion="124226"/>
  <bookViews>
    <workbookView xWindow="120" yWindow="105" windowWidth="15120" windowHeight="8010" activeTab="4"/>
  </bookViews>
  <sheets>
    <sheet name="Энергосбережение и повышение" sheetId="2" r:id="rId1"/>
    <sheet name="Чистая вода " sheetId="3" r:id="rId2"/>
    <sheet name="Комплексное благоустройство" sheetId="6" r:id="rId3"/>
    <sheet name="Капитальный ремонт " sheetId="7" r:id="rId4"/>
    <sheet name="Итого" sheetId="1" r:id="rId5"/>
  </sheets>
  <calcPr calcId="145621"/>
</workbook>
</file>

<file path=xl/calcChain.xml><?xml version="1.0" encoding="utf-8"?>
<calcChain xmlns="http://schemas.openxmlformats.org/spreadsheetml/2006/main">
  <c r="I10" i="6" l="1"/>
  <c r="I99" i="6"/>
  <c r="I35" i="3"/>
  <c r="I10" i="7"/>
  <c r="I9" i="7"/>
  <c r="I8" i="7"/>
  <c r="I7" i="7"/>
  <c r="I6" i="7"/>
  <c r="I5" i="7"/>
  <c r="I61" i="6"/>
  <c r="I60" i="6"/>
  <c r="I59" i="6"/>
  <c r="I57" i="6"/>
  <c r="I56" i="6"/>
  <c r="I48" i="6"/>
  <c r="I47" i="6"/>
  <c r="I46" i="6"/>
  <c r="I45" i="6"/>
  <c r="I44" i="6"/>
  <c r="I43" i="6"/>
  <c r="I34" i="6"/>
  <c r="I32" i="6"/>
  <c r="I30" i="6"/>
  <c r="I8" i="6"/>
  <c r="I7" i="6"/>
  <c r="I5" i="6"/>
  <c r="I22" i="3"/>
  <c r="I6" i="3"/>
  <c r="I62" i="2"/>
  <c r="I61" i="2"/>
  <c r="I14" i="2"/>
  <c r="G35" i="3" l="1"/>
  <c r="G23" i="3"/>
  <c r="I78" i="2"/>
  <c r="I77" i="2"/>
  <c r="G23" i="2"/>
  <c r="I23" i="7" l="1"/>
  <c r="I24" i="7"/>
  <c r="H80" i="2"/>
  <c r="I80" i="2"/>
  <c r="G29" i="2"/>
  <c r="I79" i="2"/>
  <c r="G22" i="2"/>
  <c r="I100" i="6" l="1"/>
  <c r="I260" i="1" s="1"/>
  <c r="I101" i="6"/>
  <c r="G24" i="7"/>
  <c r="G25" i="7"/>
  <c r="G25" i="2"/>
  <c r="G35" i="6" l="1"/>
  <c r="H79" i="2" l="1"/>
  <c r="J38" i="1"/>
  <c r="I38" i="1"/>
  <c r="H38" i="1"/>
  <c r="B39" i="1"/>
  <c r="B40" i="1"/>
  <c r="B41" i="1"/>
  <c r="B42" i="1"/>
  <c r="B43" i="1"/>
  <c r="B38" i="1"/>
  <c r="H28" i="1"/>
  <c r="I28" i="1"/>
  <c r="J28" i="1"/>
  <c r="G28" i="1"/>
  <c r="B29" i="1"/>
  <c r="B30" i="1"/>
  <c r="B28" i="1"/>
  <c r="I222" i="1"/>
  <c r="H217" i="1"/>
  <c r="H221" i="1"/>
  <c r="I78" i="1"/>
  <c r="I247" i="1"/>
  <c r="I25" i="7"/>
  <c r="I248" i="1" s="1"/>
  <c r="I26" i="7"/>
  <c r="I249" i="1" s="1"/>
  <c r="H23" i="7"/>
  <c r="H24" i="7"/>
  <c r="H247" i="1" s="1"/>
  <c r="H25" i="7"/>
  <c r="H248" i="1" s="1"/>
  <c r="H26" i="7"/>
  <c r="H249" i="1" s="1"/>
  <c r="G26" i="7"/>
  <c r="G249" i="1" s="1"/>
  <c r="G12" i="7"/>
  <c r="G247" i="1" s="1"/>
  <c r="G13" i="7"/>
  <c r="G248" i="1" s="1"/>
  <c r="G14" i="7"/>
  <c r="I93" i="6"/>
  <c r="I213" i="1" s="1"/>
  <c r="I98" i="6"/>
  <c r="I221" i="1"/>
  <c r="I102" i="6"/>
  <c r="I103" i="6"/>
  <c r="I223" i="1" s="1"/>
  <c r="H93" i="6"/>
  <c r="H213" i="1" s="1"/>
  <c r="H94" i="6"/>
  <c r="H214" i="1" s="1"/>
  <c r="H95" i="6"/>
  <c r="H215" i="1" s="1"/>
  <c r="H96" i="6"/>
  <c r="H216" i="1" s="1"/>
  <c r="H97" i="6"/>
  <c r="H98" i="6"/>
  <c r="H218" i="1" s="1"/>
  <c r="H99" i="6"/>
  <c r="H219" i="1" s="1"/>
  <c r="H100" i="6"/>
  <c r="H220" i="1" s="1"/>
  <c r="H101" i="6"/>
  <c r="H102" i="6"/>
  <c r="H222" i="1" s="1"/>
  <c r="H103" i="6"/>
  <c r="H223" i="1" s="1"/>
  <c r="G89" i="6"/>
  <c r="G90" i="6"/>
  <c r="G91" i="6"/>
  <c r="G76" i="6"/>
  <c r="G77" i="6"/>
  <c r="G78" i="6"/>
  <c r="G63" i="6"/>
  <c r="G64" i="6"/>
  <c r="G65" i="6"/>
  <c r="G50" i="6"/>
  <c r="G51" i="6"/>
  <c r="G52" i="6"/>
  <c r="G37" i="6"/>
  <c r="G38" i="6"/>
  <c r="G39" i="6"/>
  <c r="G24" i="6"/>
  <c r="G25" i="6"/>
  <c r="G26" i="6"/>
  <c r="G12" i="6"/>
  <c r="G13" i="6"/>
  <c r="G14" i="6"/>
  <c r="I37" i="3"/>
  <c r="I118" i="1" s="1"/>
  <c r="I38" i="3"/>
  <c r="I119" i="1" s="1"/>
  <c r="I39" i="3"/>
  <c r="I120" i="1" s="1"/>
  <c r="H37" i="3"/>
  <c r="H118" i="1" s="1"/>
  <c r="H38" i="3"/>
  <c r="H119" i="1" s="1"/>
  <c r="H39" i="3"/>
  <c r="H120" i="1" s="1"/>
  <c r="G101" i="6" l="1"/>
  <c r="G221" i="1" s="1"/>
  <c r="I218" i="1"/>
  <c r="G102" i="6"/>
  <c r="G222" i="1" s="1"/>
  <c r="G103" i="6"/>
  <c r="G223" i="1" s="1"/>
  <c r="G38" i="1"/>
  <c r="I220" i="1"/>
  <c r="I219" i="1"/>
  <c r="G25" i="3"/>
  <c r="G26" i="3"/>
  <c r="G27" i="3"/>
  <c r="G12" i="3"/>
  <c r="G37" i="3" s="1"/>
  <c r="G118" i="1" s="1"/>
  <c r="G13" i="3"/>
  <c r="G14" i="3"/>
  <c r="G39" i="3" s="1"/>
  <c r="G120" i="1" s="1"/>
  <c r="I81" i="2"/>
  <c r="I82" i="2"/>
  <c r="H81" i="2"/>
  <c r="H82" i="2"/>
  <c r="G81" i="2"/>
  <c r="G68" i="2"/>
  <c r="G69" i="2"/>
  <c r="G82" i="2" l="1"/>
  <c r="G38" i="3"/>
  <c r="G119" i="1" s="1"/>
  <c r="G81" i="1"/>
  <c r="G263" i="1"/>
  <c r="H263" i="1"/>
  <c r="H81" i="1"/>
  <c r="I263" i="1"/>
  <c r="I81" i="1"/>
  <c r="G262" i="1"/>
  <c r="G80" i="1"/>
  <c r="H262" i="1"/>
  <c r="H80" i="1"/>
  <c r="I262" i="1"/>
  <c r="I80" i="1"/>
  <c r="G55" i="2"/>
  <c r="G56" i="2"/>
  <c r="G57" i="2"/>
  <c r="G44" i="2"/>
  <c r="G43" i="2"/>
  <c r="G42" i="2"/>
  <c r="G31" i="2"/>
  <c r="G30" i="1" s="1"/>
  <c r="G30" i="2"/>
  <c r="G29" i="1" s="1"/>
  <c r="I22" i="7"/>
  <c r="I259" i="1" s="1"/>
  <c r="H22" i="7"/>
  <c r="I21" i="7"/>
  <c r="H21" i="7"/>
  <c r="H20" i="7"/>
  <c r="H19" i="7"/>
  <c r="H18" i="7"/>
  <c r="H17" i="7"/>
  <c r="I16" i="7"/>
  <c r="H16" i="7"/>
  <c r="H29" i="7" s="1"/>
  <c r="I15" i="7"/>
  <c r="H15" i="7"/>
  <c r="G11" i="7"/>
  <c r="G23" i="7" s="1"/>
  <c r="G10" i="7"/>
  <c r="G22" i="7" s="1"/>
  <c r="G9" i="7"/>
  <c r="G21" i="7" s="1"/>
  <c r="I20" i="7"/>
  <c r="I19" i="7"/>
  <c r="I18" i="7"/>
  <c r="I17" i="7"/>
  <c r="G4" i="7"/>
  <c r="G16" i="7" s="1"/>
  <c r="G3" i="7"/>
  <c r="G15" i="7" s="1"/>
  <c r="I92" i="6"/>
  <c r="H92" i="6"/>
  <c r="H106" i="6" s="1"/>
  <c r="G88" i="6"/>
  <c r="G87" i="6"/>
  <c r="G86" i="6"/>
  <c r="G85" i="6"/>
  <c r="G84" i="6"/>
  <c r="G83" i="6"/>
  <c r="G82" i="6"/>
  <c r="G81" i="6"/>
  <c r="G80" i="6"/>
  <c r="G75" i="6"/>
  <c r="G74" i="6"/>
  <c r="G73" i="6"/>
  <c r="G72" i="6"/>
  <c r="G71" i="6"/>
  <c r="G70" i="6"/>
  <c r="G69" i="6"/>
  <c r="G68" i="6"/>
  <c r="G67" i="6"/>
  <c r="G62" i="6"/>
  <c r="G61" i="6"/>
  <c r="G60" i="6"/>
  <c r="G59" i="6"/>
  <c r="G58" i="6"/>
  <c r="G57" i="6"/>
  <c r="G56" i="6"/>
  <c r="G55" i="6"/>
  <c r="G54" i="6"/>
  <c r="G49" i="6"/>
  <c r="G48" i="6"/>
  <c r="G47" i="6"/>
  <c r="I97" i="6"/>
  <c r="G45" i="6"/>
  <c r="I95" i="6"/>
  <c r="I215" i="1" s="1"/>
  <c r="G43" i="6"/>
  <c r="G42" i="6"/>
  <c r="G41" i="6"/>
  <c r="G36" i="6"/>
  <c r="G34" i="6"/>
  <c r="G33" i="6"/>
  <c r="G32" i="6"/>
  <c r="G31" i="6"/>
  <c r="G30" i="6"/>
  <c r="G29" i="6"/>
  <c r="G28" i="6"/>
  <c r="G23" i="6"/>
  <c r="G22" i="6"/>
  <c r="G21" i="6"/>
  <c r="G20" i="6"/>
  <c r="G19" i="6"/>
  <c r="G18" i="6"/>
  <c r="G17" i="6"/>
  <c r="G16" i="6"/>
  <c r="G15" i="6"/>
  <c r="G11" i="6"/>
  <c r="G10" i="6"/>
  <c r="G9" i="6"/>
  <c r="G8" i="6"/>
  <c r="G7" i="6"/>
  <c r="G6" i="6"/>
  <c r="G4" i="6"/>
  <c r="G3" i="6"/>
  <c r="H36" i="3"/>
  <c r="H260" i="1" s="1"/>
  <c r="G260" i="1" s="1"/>
  <c r="H35" i="3"/>
  <c r="I34" i="3"/>
  <c r="H34" i="3"/>
  <c r="I33" i="3"/>
  <c r="H33" i="3"/>
  <c r="I32" i="3"/>
  <c r="H32" i="3"/>
  <c r="H31" i="3"/>
  <c r="I30" i="3"/>
  <c r="H30" i="3"/>
  <c r="I29" i="3"/>
  <c r="H29" i="3"/>
  <c r="I28" i="3"/>
  <c r="H28" i="3"/>
  <c r="G24" i="3"/>
  <c r="G22" i="3"/>
  <c r="G21" i="3"/>
  <c r="G20" i="3"/>
  <c r="G19" i="3"/>
  <c r="G18" i="3"/>
  <c r="G17" i="3"/>
  <c r="G16" i="3"/>
  <c r="G11" i="3"/>
  <c r="G10" i="3"/>
  <c r="G9" i="3"/>
  <c r="G8" i="3"/>
  <c r="G7" i="3"/>
  <c r="I31" i="3"/>
  <c r="G5" i="3"/>
  <c r="G4" i="3"/>
  <c r="G29" i="3" s="1"/>
  <c r="G3" i="3"/>
  <c r="H78" i="2"/>
  <c r="G78" i="2" s="1"/>
  <c r="H77" i="2"/>
  <c r="H258" i="1" s="1"/>
  <c r="I76" i="2"/>
  <c r="H76" i="2"/>
  <c r="I75" i="2"/>
  <c r="H75" i="2"/>
  <c r="H256" i="1" s="1"/>
  <c r="H74" i="2"/>
  <c r="H255" i="1" s="1"/>
  <c r="H73" i="2"/>
  <c r="I72" i="2"/>
  <c r="H72" i="2"/>
  <c r="H253" i="1" s="1"/>
  <c r="I71" i="2"/>
  <c r="H71" i="2"/>
  <c r="G70" i="2"/>
  <c r="G67" i="2"/>
  <c r="G66" i="2"/>
  <c r="G65" i="2"/>
  <c r="G64" i="2"/>
  <c r="G63" i="2"/>
  <c r="I74" i="2"/>
  <c r="I73" i="2"/>
  <c r="G60" i="2"/>
  <c r="G59" i="2"/>
  <c r="G54" i="2"/>
  <c r="G53" i="2"/>
  <c r="G52" i="2"/>
  <c r="G51" i="2"/>
  <c r="G50" i="2"/>
  <c r="G49" i="2"/>
  <c r="G48" i="2"/>
  <c r="G47" i="2"/>
  <c r="G46" i="2"/>
  <c r="G41" i="2"/>
  <c r="G40" i="2"/>
  <c r="G39" i="2"/>
  <c r="G38" i="2"/>
  <c r="G37" i="2"/>
  <c r="G36" i="2"/>
  <c r="G35" i="2"/>
  <c r="G34" i="2"/>
  <c r="G33" i="2"/>
  <c r="G27" i="2"/>
  <c r="G26" i="2"/>
  <c r="G24" i="2"/>
  <c r="G21" i="2"/>
  <c r="G20" i="2"/>
  <c r="G19" i="2"/>
  <c r="G18" i="2"/>
  <c r="G17" i="2"/>
  <c r="G16" i="2"/>
  <c r="G15" i="2"/>
  <c r="G14" i="2"/>
  <c r="G13" i="2"/>
  <c r="G12" i="2"/>
  <c r="G11" i="2"/>
  <c r="G10" i="2"/>
  <c r="G9" i="2"/>
  <c r="G8" i="2"/>
  <c r="I246" i="1"/>
  <c r="I245" i="1"/>
  <c r="I244" i="1"/>
  <c r="I239" i="1"/>
  <c r="I238" i="1"/>
  <c r="H246" i="1"/>
  <c r="H245" i="1"/>
  <c r="H244" i="1"/>
  <c r="H243" i="1"/>
  <c r="H242" i="1"/>
  <c r="H241" i="1"/>
  <c r="H240" i="1"/>
  <c r="H239" i="1"/>
  <c r="H238" i="1"/>
  <c r="I231" i="1"/>
  <c r="I243" i="1" s="1"/>
  <c r="I230" i="1"/>
  <c r="I242" i="1" s="1"/>
  <c r="I229" i="1"/>
  <c r="I241" i="1" s="1"/>
  <c r="I228" i="1"/>
  <c r="I240" i="1" s="1"/>
  <c r="G227" i="1"/>
  <c r="G239" i="1" s="1"/>
  <c r="G228" i="1"/>
  <c r="G240" i="1" s="1"/>
  <c r="G229" i="1"/>
  <c r="G241" i="1" s="1"/>
  <c r="G230" i="1"/>
  <c r="G242" i="1" s="1"/>
  <c r="G231" i="1"/>
  <c r="G243" i="1" s="1"/>
  <c r="G232" i="1"/>
  <c r="G244" i="1" s="1"/>
  <c r="G233" i="1"/>
  <c r="G245" i="1" s="1"/>
  <c r="G234" i="1"/>
  <c r="G246" i="1" s="1"/>
  <c r="G226" i="1"/>
  <c r="G238" i="1" s="1"/>
  <c r="I212" i="1"/>
  <c r="H212" i="1"/>
  <c r="G201" i="1"/>
  <c r="G202" i="1"/>
  <c r="G203" i="1"/>
  <c r="G204" i="1"/>
  <c r="G205" i="1"/>
  <c r="G206" i="1"/>
  <c r="G207" i="1"/>
  <c r="G208" i="1"/>
  <c r="G200" i="1"/>
  <c r="G188" i="1"/>
  <c r="G189" i="1"/>
  <c r="G190" i="1"/>
  <c r="G191" i="1"/>
  <c r="G192" i="1"/>
  <c r="G193" i="1"/>
  <c r="G194" i="1"/>
  <c r="G195" i="1"/>
  <c r="G187" i="1"/>
  <c r="I179" i="1"/>
  <c r="G179" i="1" s="1"/>
  <c r="I177" i="1"/>
  <c r="I176" i="1"/>
  <c r="G175" i="1"/>
  <c r="G176" i="1"/>
  <c r="G177" i="1"/>
  <c r="G178" i="1"/>
  <c r="G180" i="1"/>
  <c r="G181" i="1"/>
  <c r="G182" i="1"/>
  <c r="G174" i="1"/>
  <c r="I166" i="1"/>
  <c r="I165" i="1"/>
  <c r="I164" i="1"/>
  <c r="I163" i="1"/>
  <c r="G162" i="1"/>
  <c r="G163" i="1"/>
  <c r="G164" i="1"/>
  <c r="G165" i="1"/>
  <c r="G166" i="1"/>
  <c r="G167" i="1"/>
  <c r="G168" i="1"/>
  <c r="G169" i="1"/>
  <c r="G161" i="1"/>
  <c r="I152" i="1"/>
  <c r="G152" i="1" s="1"/>
  <c r="I150" i="1"/>
  <c r="G149" i="1"/>
  <c r="G150" i="1"/>
  <c r="G151" i="1"/>
  <c r="G153" i="1"/>
  <c r="G154" i="1"/>
  <c r="G155" i="1"/>
  <c r="G156" i="1"/>
  <c r="G148" i="1"/>
  <c r="G135" i="1"/>
  <c r="G136" i="1"/>
  <c r="G137" i="1"/>
  <c r="G138" i="1"/>
  <c r="G139" i="1"/>
  <c r="G140" i="1"/>
  <c r="G141" i="1"/>
  <c r="G142" i="1"/>
  <c r="G143" i="1"/>
  <c r="I127" i="1"/>
  <c r="G127" i="1" s="1"/>
  <c r="I125" i="1"/>
  <c r="G124" i="1"/>
  <c r="G125" i="1"/>
  <c r="G126" i="1"/>
  <c r="G128" i="1"/>
  <c r="G129" i="1"/>
  <c r="G130" i="1"/>
  <c r="G131" i="1"/>
  <c r="G123" i="1"/>
  <c r="I117" i="1"/>
  <c r="I116" i="1"/>
  <c r="I115" i="1"/>
  <c r="I114" i="1"/>
  <c r="I113" i="1"/>
  <c r="I111" i="1"/>
  <c r="I110" i="1"/>
  <c r="I109" i="1"/>
  <c r="H117" i="1"/>
  <c r="H116" i="1"/>
  <c r="H115" i="1"/>
  <c r="H114" i="1"/>
  <c r="H113" i="1"/>
  <c r="H112" i="1"/>
  <c r="H111" i="1"/>
  <c r="H110" i="1"/>
  <c r="H109" i="1"/>
  <c r="G105" i="1"/>
  <c r="G98" i="1"/>
  <c r="G99" i="1"/>
  <c r="G100" i="1"/>
  <c r="G101" i="1"/>
  <c r="G102" i="1"/>
  <c r="G103" i="1"/>
  <c r="G104" i="1"/>
  <c r="G97" i="1"/>
  <c r="I87" i="1"/>
  <c r="I112" i="1" s="1"/>
  <c r="G85" i="1"/>
  <c r="G86" i="1"/>
  <c r="G111" i="1" s="1"/>
  <c r="G88" i="1"/>
  <c r="G89" i="1"/>
  <c r="G90" i="1"/>
  <c r="G115" i="1" s="1"/>
  <c r="G91" i="1"/>
  <c r="G92" i="1"/>
  <c r="G117" i="1" s="1"/>
  <c r="G84" i="1"/>
  <c r="I77" i="1"/>
  <c r="I76" i="1"/>
  <c r="I75" i="1"/>
  <c r="I74" i="1"/>
  <c r="H78" i="1"/>
  <c r="H77" i="1"/>
  <c r="H76" i="1"/>
  <c r="H75" i="1"/>
  <c r="H74" i="1"/>
  <c r="H73" i="1"/>
  <c r="H72" i="1"/>
  <c r="I71" i="1"/>
  <c r="H71" i="1"/>
  <c r="I70" i="1"/>
  <c r="H70" i="1"/>
  <c r="G34" i="1"/>
  <c r="I61" i="1"/>
  <c r="G61" i="1" s="1"/>
  <c r="I60" i="1"/>
  <c r="I72" i="1" s="1"/>
  <c r="G45" i="1"/>
  <c r="G46" i="1"/>
  <c r="G47" i="1"/>
  <c r="G48" i="1"/>
  <c r="G49" i="1"/>
  <c r="G50" i="1"/>
  <c r="G51" i="1"/>
  <c r="G52" i="1"/>
  <c r="G53" i="1"/>
  <c r="G58" i="1"/>
  <c r="G59" i="1"/>
  <c r="G60" i="1"/>
  <c r="G62" i="1"/>
  <c r="G63" i="1"/>
  <c r="G64" i="1"/>
  <c r="G65" i="1"/>
  <c r="G66" i="1"/>
  <c r="G69" i="1"/>
  <c r="G39" i="1"/>
  <c r="G40" i="1"/>
  <c r="G32" i="1"/>
  <c r="G33" i="1"/>
  <c r="G35" i="1"/>
  <c r="G36" i="1"/>
  <c r="G37" i="1"/>
  <c r="G20" i="1"/>
  <c r="G21" i="1"/>
  <c r="G22" i="1"/>
  <c r="G23" i="1"/>
  <c r="G24" i="1"/>
  <c r="G25" i="1"/>
  <c r="G26" i="1"/>
  <c r="G27" i="1"/>
  <c r="G16" i="1"/>
  <c r="G17" i="1"/>
  <c r="G18" i="1"/>
  <c r="G19" i="1"/>
  <c r="G14" i="1"/>
  <c r="G11" i="1"/>
  <c r="G10" i="1"/>
  <c r="G12" i="1"/>
  <c r="G13" i="1"/>
  <c r="G15" i="1"/>
  <c r="G9" i="1"/>
  <c r="I253" i="1" l="1"/>
  <c r="G100" i="6"/>
  <c r="H254" i="1"/>
  <c r="H42" i="3"/>
  <c r="I42" i="3"/>
  <c r="I29" i="7"/>
  <c r="G99" i="6"/>
  <c r="G259" i="1" s="1"/>
  <c r="G79" i="2"/>
  <c r="H85" i="2"/>
  <c r="I85" i="2"/>
  <c r="I258" i="1"/>
  <c r="I217" i="1"/>
  <c r="G33" i="3"/>
  <c r="H257" i="1"/>
  <c r="H252" i="1"/>
  <c r="G113" i="1"/>
  <c r="G74" i="1"/>
  <c r="G71" i="1"/>
  <c r="G109" i="1"/>
  <c r="G220" i="1"/>
  <c r="G218" i="1"/>
  <c r="G214" i="1"/>
  <c r="I252" i="1"/>
  <c r="G92" i="6"/>
  <c r="G5" i="7"/>
  <c r="G17" i="7" s="1"/>
  <c r="G6" i="7"/>
  <c r="G18" i="7" s="1"/>
  <c r="G7" i="7"/>
  <c r="G19" i="7" s="1"/>
  <c r="G8" i="7"/>
  <c r="G20" i="7" s="1"/>
  <c r="I255" i="1"/>
  <c r="I257" i="1"/>
  <c r="G28" i="3"/>
  <c r="G30" i="3"/>
  <c r="G32" i="3"/>
  <c r="G34" i="3"/>
  <c r="G36" i="3"/>
  <c r="G93" i="6"/>
  <c r="I96" i="6"/>
  <c r="I216" i="1" s="1"/>
  <c r="G44" i="6"/>
  <c r="G95" i="6" s="1"/>
  <c r="G46" i="6"/>
  <c r="G97" i="6" s="1"/>
  <c r="G5" i="6"/>
  <c r="I94" i="6"/>
  <c r="I214" i="1" s="1"/>
  <c r="G216" i="1"/>
  <c r="H259" i="1"/>
  <c r="G72" i="2"/>
  <c r="G61" i="2"/>
  <c r="G73" i="2" s="1"/>
  <c r="G62" i="2"/>
  <c r="G74" i="2" s="1"/>
  <c r="I261" i="1"/>
  <c r="I79" i="1"/>
  <c r="G76" i="2"/>
  <c r="H261" i="1"/>
  <c r="H79" i="1"/>
  <c r="G116" i="1"/>
  <c r="G114" i="1"/>
  <c r="G87" i="1"/>
  <c r="G112" i="1" s="1"/>
  <c r="G110" i="1"/>
  <c r="G212" i="1"/>
  <c r="G219" i="1"/>
  <c r="G215" i="1"/>
  <c r="G213" i="1"/>
  <c r="G94" i="6"/>
  <c r="G96" i="6"/>
  <c r="G98" i="6"/>
  <c r="G80" i="2"/>
  <c r="G75" i="2"/>
  <c r="G77" i="2"/>
  <c r="G71" i="2"/>
  <c r="G6" i="3"/>
  <c r="G31" i="3" s="1"/>
  <c r="G217" i="1"/>
  <c r="I73" i="1"/>
  <c r="G72" i="1"/>
  <c r="G76" i="1"/>
  <c r="G78" i="1"/>
  <c r="G77" i="1"/>
  <c r="G73" i="1"/>
  <c r="G75" i="1"/>
  <c r="G70" i="1"/>
  <c r="G29" i="7" l="1"/>
  <c r="I254" i="1"/>
  <c r="I106" i="6"/>
  <c r="G253" i="1"/>
  <c r="G42" i="3"/>
  <c r="H268" i="1"/>
  <c r="G106" i="6"/>
  <c r="G85" i="2"/>
  <c r="G252" i="1"/>
  <c r="G254" i="1"/>
  <c r="G257" i="1"/>
  <c r="G258" i="1"/>
  <c r="G256" i="1"/>
  <c r="G255" i="1"/>
  <c r="I256" i="1"/>
  <c r="G79" i="1"/>
  <c r="G261" i="1"/>
  <c r="I268" i="1" l="1"/>
  <c r="G268" i="1"/>
</calcChain>
</file>

<file path=xl/comments1.xml><?xml version="1.0" encoding="utf-8"?>
<comments xmlns="http://schemas.openxmlformats.org/spreadsheetml/2006/main">
  <authors>
    <author>Автор</author>
  </authors>
  <commentList>
    <comment ref="B39" authorId="0">
      <text>
        <r>
          <rPr>
            <b/>
            <sz val="9"/>
            <color indexed="81"/>
            <rFont val="Tahoma"/>
            <family val="2"/>
            <charset val="204"/>
          </rPr>
          <t>Автор:</t>
        </r>
        <r>
          <rPr>
            <sz val="9"/>
            <color indexed="81"/>
            <rFont val="Tahoma"/>
            <family val="2"/>
            <charset val="204"/>
          </rPr>
          <t xml:space="preserve">
ГВС 
Строительная 60 000
Черемушки 60 000
Школьная 60 000
Левченко 60 000
ХВС 
Левченко 65 000
Черемушки 60 000
Строительная 60 000
Школьная 60 000
</t>
        </r>
      </text>
    </comment>
    <comment ref="B61" authorId="0">
      <text>
        <r>
          <rPr>
            <b/>
            <sz val="9"/>
            <color indexed="81"/>
            <rFont val="Tahoma"/>
            <family val="2"/>
            <charset val="204"/>
          </rPr>
          <t>Автор:</t>
        </r>
        <r>
          <rPr>
            <sz val="9"/>
            <color indexed="81"/>
            <rFont val="Tahoma"/>
            <family val="2"/>
            <charset val="204"/>
          </rPr>
          <t xml:space="preserve">
Приобретение коллективного прибора край 180 наши 7,37
Установка 300
Доставка 12
Устаеновка ОДПУ 1700
</t>
        </r>
      </text>
    </comment>
    <comment ref="B62" authorId="0">
      <text>
        <r>
          <rPr>
            <b/>
            <sz val="9"/>
            <color indexed="81"/>
            <rFont val="Tahoma"/>
            <family val="2"/>
            <charset val="204"/>
          </rPr>
          <t>Автор:</t>
        </r>
        <r>
          <rPr>
            <sz val="9"/>
            <color indexed="81"/>
            <rFont val="Tahoma"/>
            <family val="2"/>
            <charset val="204"/>
          </rPr>
          <t xml:space="preserve">
Установка 200
Доставка 12
Пуско-наладочые работы 100
Изготовлеие 200
</t>
        </r>
      </text>
    </comment>
  </commentList>
</comments>
</file>

<file path=xl/comments2.xml><?xml version="1.0" encoding="utf-8"?>
<comments xmlns="http://schemas.openxmlformats.org/spreadsheetml/2006/main">
  <authors>
    <author>Автор</author>
  </authors>
  <commentList>
    <comment ref="B6" authorId="0">
      <text>
        <r>
          <rPr>
            <b/>
            <sz val="9"/>
            <color indexed="81"/>
            <rFont val="Tahoma"/>
            <family val="2"/>
            <charset val="204"/>
          </rPr>
          <t>Автор:</t>
        </r>
        <r>
          <rPr>
            <sz val="9"/>
            <color indexed="81"/>
            <rFont val="Tahoma"/>
            <family val="2"/>
            <charset val="204"/>
          </rPr>
          <t xml:space="preserve">
прокладка труб наши 1200
установка край 216 наши 4,32
</t>
        </r>
      </text>
    </comment>
  </commentList>
</comments>
</file>

<file path=xl/comments3.xml><?xml version="1.0" encoding="utf-8"?>
<comments xmlns="http://schemas.openxmlformats.org/spreadsheetml/2006/main">
  <authors>
    <author>Автор</author>
  </authors>
  <commentList>
    <comment ref="B5" authorId="0">
      <text>
        <r>
          <rPr>
            <b/>
            <sz val="9"/>
            <color indexed="81"/>
            <rFont val="Tahoma"/>
            <family val="2"/>
            <charset val="204"/>
          </rPr>
          <t>Автор:</t>
        </r>
        <r>
          <rPr>
            <sz val="9"/>
            <color indexed="81"/>
            <rFont val="Tahoma"/>
            <family val="2"/>
            <charset val="204"/>
          </rPr>
          <t xml:space="preserve">
Дорожный фонд 2988,83172
Дорожные знаки 4,9
</t>
        </r>
      </text>
    </comment>
    <comment ref="B30" authorId="0">
      <text>
        <r>
          <rPr>
            <b/>
            <sz val="9"/>
            <color indexed="81"/>
            <rFont val="Tahoma"/>
            <family val="2"/>
            <charset val="204"/>
          </rPr>
          <t>Автор:</t>
        </r>
        <r>
          <rPr>
            <sz val="9"/>
            <color indexed="81"/>
            <rFont val="Tahoma"/>
            <family val="2"/>
            <charset val="204"/>
          </rPr>
          <t xml:space="preserve">
установка 50
лампы 292,4
</t>
        </r>
      </text>
    </comment>
    <comment ref="B32" authorId="0">
      <text>
        <r>
          <rPr>
            <b/>
            <sz val="9"/>
            <color indexed="81"/>
            <rFont val="Tahoma"/>
            <family val="2"/>
            <charset val="204"/>
          </rPr>
          <t>Автор:</t>
        </r>
        <r>
          <rPr>
            <sz val="9"/>
            <color indexed="81"/>
            <rFont val="Tahoma"/>
            <family val="2"/>
            <charset val="204"/>
          </rPr>
          <t xml:space="preserve">
Лампы 300
Ремонт 2000
</t>
        </r>
      </text>
    </comment>
    <comment ref="B34" authorId="0">
      <text>
        <r>
          <rPr>
            <b/>
            <sz val="9"/>
            <color indexed="81"/>
            <rFont val="Tahoma"/>
            <family val="2"/>
            <charset val="204"/>
          </rPr>
          <t>Автор:</t>
        </r>
        <r>
          <rPr>
            <sz val="9"/>
            <color indexed="81"/>
            <rFont val="Tahoma"/>
            <family val="2"/>
            <charset val="204"/>
          </rPr>
          <t xml:space="preserve">
Составеление проектно - сметной документации 300 000
Госэкспериза 20 000
Приобретение ламп уличного освещения 450 000</t>
        </r>
      </text>
    </comment>
    <comment ref="B35" authorId="0">
      <text>
        <r>
          <rPr>
            <b/>
            <sz val="9"/>
            <color indexed="81"/>
            <rFont val="Tahoma"/>
            <family val="2"/>
            <charset val="204"/>
          </rPr>
          <t>Автор:</t>
        </r>
        <r>
          <rPr>
            <sz val="9"/>
            <color indexed="81"/>
            <rFont val="Tahoma"/>
            <family val="2"/>
            <charset val="204"/>
          </rPr>
          <t xml:space="preserve">
Строительство 14 000 000
</t>
        </r>
      </text>
    </comment>
    <comment ref="B43" authorId="0">
      <text>
        <r>
          <rPr>
            <b/>
            <sz val="9"/>
            <color indexed="81"/>
            <rFont val="Tahoma"/>
            <family val="2"/>
            <charset val="204"/>
          </rPr>
          <t>Автор:</t>
        </r>
        <r>
          <rPr>
            <sz val="9"/>
            <color indexed="81"/>
            <rFont val="Tahoma"/>
            <family val="2"/>
            <charset val="204"/>
          </rPr>
          <t xml:space="preserve">
Эксковатор 5350,0
Доставка техники 300,0
Кран 9670
Урал самосвал 4500
Урал илисос 5500
аккумуляторы 68,8
Колеса 100
Доставка техники 700
мат запасы 200
фильтры 100
такелаж 200
аккумуляторы 100
антифриз 50
Рессоры 300
</t>
        </r>
      </text>
    </comment>
    <comment ref="B44" authorId="0">
      <text>
        <r>
          <rPr>
            <b/>
            <sz val="9"/>
            <color indexed="81"/>
            <rFont val="Tahoma"/>
            <family val="2"/>
            <charset val="204"/>
          </rPr>
          <t>Автор:</t>
        </r>
        <r>
          <rPr>
            <sz val="9"/>
            <color indexed="81"/>
            <rFont val="Tahoma"/>
            <family val="2"/>
            <charset val="204"/>
          </rPr>
          <t xml:space="preserve">
Доставка 1050
Трактор 5000
сани 400
мат запасы 450</t>
        </r>
      </text>
    </comment>
    <comment ref="B45" authorId="0">
      <text>
        <r>
          <rPr>
            <b/>
            <sz val="9"/>
            <color indexed="81"/>
            <rFont val="Tahoma"/>
            <family val="2"/>
            <charset val="204"/>
          </rPr>
          <t>Автор:</t>
        </r>
        <r>
          <rPr>
            <sz val="9"/>
            <color indexed="81"/>
            <rFont val="Tahoma"/>
            <family val="2"/>
            <charset val="204"/>
          </rPr>
          <t xml:space="preserve">
трактор 5200
гидромолот 620
Самосвал 2 шт 9407</t>
        </r>
      </text>
    </comment>
    <comment ref="B46" authorId="0">
      <text>
        <r>
          <rPr>
            <b/>
            <sz val="9"/>
            <color indexed="81"/>
            <rFont val="Tahoma"/>
            <family val="2"/>
            <charset val="204"/>
          </rPr>
          <t>Автор:</t>
        </r>
        <r>
          <rPr>
            <sz val="9"/>
            <color indexed="81"/>
            <rFont val="Tahoma"/>
            <family val="2"/>
            <charset val="204"/>
          </rPr>
          <t xml:space="preserve">
самосвал 2 шт. 90077,755
болотоход 9300
гидромолот 365,8
мат части 404
зап части 400</t>
        </r>
      </text>
    </comment>
    <comment ref="B47" authorId="0">
      <text>
        <r>
          <rPr>
            <b/>
            <sz val="9"/>
            <color indexed="81"/>
            <rFont val="Tahoma"/>
            <family val="2"/>
            <charset val="204"/>
          </rPr>
          <t>Автор:</t>
        </r>
        <r>
          <rPr>
            <sz val="9"/>
            <color indexed="81"/>
            <rFont val="Tahoma"/>
            <family val="2"/>
            <charset val="204"/>
          </rPr>
          <t xml:space="preserve">
МТЗ с доставкой до ПК 2 шт.=  3618450,00
Телеги 2  шт =907 100,00
З/ч 404 000+212 000= 616 000
Доставка з/ч 0 рублей 
Доставка техники (МТЗ -2шт., телега - 2 шт) ПК-Ивашка - 800 000,00</t>
        </r>
      </text>
    </comment>
    <comment ref="B48" authorId="0">
      <text>
        <r>
          <rPr>
            <b/>
            <sz val="9"/>
            <color indexed="81"/>
            <rFont val="Tahoma"/>
            <family val="2"/>
            <charset val="204"/>
          </rPr>
          <t>Автор:</t>
        </r>
        <r>
          <rPr>
            <sz val="9"/>
            <color indexed="81"/>
            <rFont val="Tahoma"/>
            <family val="2"/>
            <charset val="204"/>
          </rPr>
          <t xml:space="preserve">
Машина для сбора мусора 7000000
з/ч 404 000
Доставка з/ч 100 000
</t>
        </r>
      </text>
    </comment>
    <comment ref="B49" authorId="0">
      <text>
        <r>
          <rPr>
            <b/>
            <sz val="9"/>
            <color indexed="81"/>
            <rFont val="Tahoma"/>
            <family val="2"/>
            <charset val="204"/>
          </rPr>
          <t>Автор:</t>
        </r>
        <r>
          <rPr>
            <sz val="9"/>
            <color indexed="81"/>
            <rFont val="Tahoma"/>
            <family val="2"/>
            <charset val="204"/>
          </rPr>
          <t xml:space="preserve">
Автокран с дставкой 28 343 152,20
з/ч 404 000
Доставка з/ч 100 000
</t>
        </r>
      </text>
    </comment>
    <comment ref="B60" authorId="0">
      <text>
        <r>
          <rPr>
            <b/>
            <sz val="9"/>
            <color indexed="81"/>
            <rFont val="Tahoma"/>
            <family val="2"/>
            <charset val="204"/>
          </rPr>
          <t>Автор:</t>
        </r>
        <r>
          <rPr>
            <sz val="9"/>
            <color indexed="81"/>
            <rFont val="Tahoma"/>
            <family val="2"/>
            <charset val="204"/>
          </rPr>
          <t xml:space="preserve">
Доставка кустарников 100 000
Устройтсво тротуарных дорожек МКУК СДК =3901809,39
Установка ограждения мест захоронения= 6 000 000
Изготовление и становка защитных корпусов кустарников  86194,14+ 4382,4
Строительство набережной 1 этап = 9860086,00
Строительство набережной 2 этап= 9860101,00
Разраьотка псд наьережная = 700 000
Закупка фонарных столбов = 300 000,00
Закупка световых опор = 280 000,00
Закупка урн = 130 000,00
Закупка лавочек = 235 000,00
Закупка инсталяции = 130 000,00
приоьретение материалов для укрытия (доска, саморезы, пароизоляция) = 70 800,00
Приобретение кустарников 200 000
</t>
        </r>
      </text>
    </comment>
    <comment ref="B61" authorId="0">
      <text>
        <r>
          <rPr>
            <b/>
            <sz val="9"/>
            <color indexed="81"/>
            <rFont val="Tahoma"/>
            <family val="2"/>
            <charset val="204"/>
          </rPr>
          <t>Автор:</t>
        </r>
        <r>
          <rPr>
            <sz val="9"/>
            <color indexed="81"/>
            <rFont val="Tahoma"/>
            <family val="2"/>
            <charset val="204"/>
          </rPr>
          <t xml:space="preserve">
Устройство резинового покрытия 7390270,97
Составление сметы для резинового покрытия 300 000,00 
 составление сметы для установки ограждения мест захоронения 300000
Приобретение памятников ветеранам ВОВ 1300000
</t>
        </r>
      </text>
    </comment>
    <comment ref="B62" authorId="0">
      <text>
        <r>
          <rPr>
            <b/>
            <sz val="9"/>
            <color indexed="81"/>
            <rFont val="Tahoma"/>
            <family val="2"/>
            <charset val="204"/>
          </rPr>
          <t>Автор:</t>
        </r>
        <r>
          <rPr>
            <sz val="9"/>
            <color indexed="81"/>
            <rFont val="Tahoma"/>
            <family val="2"/>
            <charset val="204"/>
          </rPr>
          <t xml:space="preserve">
Работы по озеленению 150 000
Установка дет площ (черемушки 15) 200 000
Цементные работы детсая площ 300 000
Устройство резин покрытия 1 000 000
</t>
        </r>
      </text>
    </comment>
  </commentList>
</comments>
</file>

<file path=xl/comments4.xml><?xml version="1.0" encoding="utf-8"?>
<comments xmlns="http://schemas.openxmlformats.org/spreadsheetml/2006/main">
  <authors>
    <author>Автор</author>
  </authors>
  <commentList>
    <comment ref="B5" authorId="0">
      <text>
        <r>
          <rPr>
            <b/>
            <sz val="9"/>
            <color indexed="81"/>
            <rFont val="Tahoma"/>
            <family val="2"/>
            <charset val="204"/>
          </rPr>
          <t xml:space="preserve">Автор:Ремонт системы отопления и ХВС ул. Речная д. 24 - 1 800 000
Ремонт системы отопления и ХВС ул. речная д. 27 - 2 200 000
Капитальный ремонт крыши ул. Школьная д. 5- 165 000
Капитальный ремонт кровли МКД ул. Речная д. 27- 2 400 000
Ремонт кровли МКД пер. Лиманный д. 8 - 1 600 000
Капитальный ремонт кровли МКД ул. Левченко д. 33 - 1 700 000
Приобретение материалов  - 1 205 260 ,18
Капитальный ремонт кровли МКД ул. Левченко д. 4 - 2 500 000
Капитальный ремонт кровли МКД ул. Школьная д. 9 - 2 500 000
Капитальный ремонт кровли МКД ул. Левченко д. 31 - 2 100 000
Капитальный ремонт кровли МКД ул. Черемушки д. 15 - 2 200 000
Капитальный ремонт кровли МКД ул. Черемушки д. 14 - 2 500 000
Капитальный ремонт кровли МКД ул. Черемушки д. 13 - 2 100 000
Капитальный ремонт кровли МКД ул. Левченко д. 34 - 2 100 000
Ремонт Речная д.14 (отопление) - 100 000
Капитальный ремонт кровли МКД ул. Левченко д.14 - 2 500 000
Капитальный ремонт водоотведения МКД ул. Левченко д. 27 - 3 016 439,33
</t>
        </r>
        <r>
          <rPr>
            <sz val="9"/>
            <color indexed="81"/>
            <rFont val="Tahoma"/>
            <family val="2"/>
            <charset val="204"/>
          </rPr>
          <t xml:space="preserve">
</t>
        </r>
      </text>
    </comment>
    <comment ref="B6" authorId="0">
      <text>
        <r>
          <rPr>
            <b/>
            <sz val="9"/>
            <color indexed="81"/>
            <rFont val="Tahoma"/>
            <charset val="1"/>
          </rPr>
          <t>Автор:
Капитальный ремонт системы водоотведения пер. Лиманный д. 8 - 3 300 000
Капитальный ремонт системы водоотведения ул. Левченко д. 33 - 3 300 000
Капитальный ремонт системы водоотведения ул. Левченко д. 31 --3 700 000
Капитальный ремонт системы водоотведения ул. Левченко д. 34 --3 300 000
Капитальный ремонт системы водоотведения ул. Черемушки д. 16- 5 200 000
Капитальный ремонт системы водоотведения ул. Левченко д. 14 - 5 200 000
Капитальный ремонт системы водоотведения ул. Школьная д. 9 - 5 200 000
Капитальный ремонт системы водоотведения ул. Левченко д. 27 - 3 700 000
Капитальный ремонт системы водоотведения ул. Юрьева д. 7 - 5 200 000
Капитальный ремонт системы водоотведения ул. Юрьева д. 17 - 5 200 000
Капитальный ремонт системы водоотведения ул. Речная д. 27 -  5 200 000
Ремонт фасада ул. Черемушки д. 13 - 500 000
Приобретение материалов - 300 000
Частичный ремонт фасадов (ул. Юрьева д. 7, ул. Черемушки д. 16) - 500 000</t>
        </r>
        <r>
          <rPr>
            <sz val="9"/>
            <color indexed="81"/>
            <rFont val="Tahoma"/>
            <charset val="1"/>
          </rPr>
          <t xml:space="preserve">
</t>
        </r>
      </text>
    </comment>
    <comment ref="B7" authorId="0">
      <text>
        <r>
          <rPr>
            <b/>
            <sz val="9"/>
            <color indexed="81"/>
            <rFont val="Tahoma"/>
            <charset val="1"/>
          </rPr>
          <t xml:space="preserve">Автор:
Изготовление проектной документации на капитальный ремонт домов - 1 500 000
Капитальный ремонт электропроводки дома №8 по пер. Лиманный - 3 000 000
Капитальный ремонт электропроводки дома №33 по ул. Левченко - 3 000 000
Капитальный ремонт электропроводки дома №31 по ул. Левченко- 3 000 000
Капитальный ремонт электропроводки дома №34 по ул. Левченко - 3 000 000
Капитальный ремонт электропроводки дома №27 по ул. Левченко - 3 300 000
Капитальный ремонт электропроводки дома №14 по ул. Левченко - 3 200 000
Капитальный ремонт электропроводки дома №9 по ул. Школьная - 3 500 000
Капитальный ремонт электропроводки дома №16 по ул. Черемушки - 3 500 000
Капитальный ремонт электропроводки дома №14 по ул. Черемушки - 3 500 000
Капитальный ремонт электропроводки дома №15 по ул. Черемушки - 2 500 000
Капитальный ремонт электропроводки дома №13 по ул. Черемушки - 2 500 000
Капитальный ремонт электропроводки дома №7 по ул. Юрьева - 3 500 000
Капитальный ремонт электропроводки дома №17 по ул. Юрьева - 3 500 000
Капитальный ремонт электропроводки дома №24 по ул. Речная - 3 000 000
Капитальный ремонт электропроводки дома №26 по ул. Речная - 3 000 000
Капитальный ремонт электропроводки дома №27 по ул. Речная - 3 500 000
Приобретение материала - 500 000
Частичная разборка подъезда и ремонт юж. стороны дома №14 по ул. Левченко - 2 492 360
Капитальный ремонт фасада ул. Левченко дом № 31 (субсидия) 6 000 000
Капитальный ремонт фасада ул. Левченко дом № 33 (субсидия) 6 000 000
Капитальный ремонт фасада ул. Юрьева дом № 17 (субсидия)  8 102 201,43
Капитальный ремонт фасада пер. Лиманный дом № 8 (субсидия) 10 000 239,74
Капитальный ремонт фасада ул. Черемушки  дом № 13 (субсидия) 8 000 000
</t>
        </r>
        <r>
          <rPr>
            <sz val="9"/>
            <color indexed="81"/>
            <rFont val="Tahoma"/>
            <charset val="1"/>
          </rPr>
          <t xml:space="preserve">
</t>
        </r>
      </text>
    </comment>
    <comment ref="B8" authorId="0">
      <text>
        <r>
          <rPr>
            <b/>
            <sz val="9"/>
            <color indexed="81"/>
            <rFont val="Tahoma"/>
            <charset val="1"/>
          </rPr>
          <t xml:space="preserve">Автор:
Капитальный ремонт крыши ул. Юрьева д.2, ул. Юрьева д.8, ул. Юрьева д. 13, ул. Юрьева д.6, ул. Юрьева д. 12)  - 1 876 000
Капитальный ремонт фасада ул. Черемушки д. 14 - 7 000 000
Капитальный ремонт фасада ул. Черемушки д. 15 - 6 723 664,43
Капитальный ремонт фасада ул. Черемушки д. 16 - 7 000 000
Капитальный ремонт фасада ул. Левченко д. 31 - 6 249 577
Капитальный ремонт фасада ул. Левченко д. 14 - 8 032 669
Капитальный ремонт фасада ул. Левченко д. 4 - 7 830 405
Капитальный ремонт фасада ул. Юрьева д. 7 - 7 957 024
Капитальный ремонт фасада ул. Юрьева д. 17 - 8 069 590
Капитальный ремонт фасада ул. Речная д. 24 - 7 000 000
Капитальный ремонт фасада ул. Речная д. 27 - 8 154 762
Капитальный ремонт жилого дома ул. Школьная 10 - 1 200 000
текущий ремонт кв. № 2 дом 10 ул. Школьная  - 800 000
Капитальный ремонт кровли Левченко 11 - 328 000
Текущий ремонт стен (кв.8,9 Левченко 4) - 300 000
Изготовление сметной документации (Карапищенко) - 1 524 099
Разборка дома (Левченко 13,15)  - 600 000
</t>
        </r>
      </text>
    </comment>
    <comment ref="B9" authorId="0">
      <text>
        <r>
          <rPr>
            <b/>
            <sz val="9"/>
            <color indexed="81"/>
            <rFont val="Tahoma"/>
            <family val="2"/>
            <charset val="204"/>
          </rPr>
          <t>Автор:</t>
        </r>
        <r>
          <rPr>
            <sz val="9"/>
            <color indexed="81"/>
            <rFont val="Tahoma"/>
            <family val="2"/>
            <charset val="204"/>
          </rPr>
          <t xml:space="preserve">
Капитальный ремонт окон Юрьева 7)  4 550 000
ул.Юрьева 7-7050000-2500000-4550000
 Юрьева 17-7050000-2500000
 Речная 27-7050000-2500000-4550000
Левченко 4-7966595,83-7966595,83
Левченко 14-4700000
Левченко 31-4700000+237801,2
Левченко 33-4700000-2192840,6
Левченко 34-4700000-378825,89
пер.Лиманный 8-4700000
Школьная 9-4700000
Речная 24-4700000-37101,6- 379179,25
Речная 26-4700000 
Левченко 27-4682057,02-1096779,02
Черемушки 13-398455-398455
Капитальный ремонт окон Левченко 27 - 4 707 057,02+ 2 507 443,96(лимиты)
Капитальный ремонт фасада Левченко 27 ) 8 081 165,00
Составление проектно сметной 1 316 000
Разборка дома Школьная 17) 300 000
Разбора домов (Левченко 25, Левченко 27 А) - 300 000,00</t>
        </r>
      </text>
    </comment>
    <comment ref="B10" authorId="0">
      <text>
        <r>
          <rPr>
            <b/>
            <sz val="9"/>
            <color indexed="81"/>
            <rFont val="Tahoma"/>
            <family val="2"/>
            <charset val="204"/>
          </rPr>
          <t>Автор:</t>
        </r>
        <r>
          <rPr>
            <sz val="9"/>
            <color indexed="81"/>
            <rFont val="Tahoma"/>
            <family val="2"/>
            <charset val="204"/>
          </rPr>
          <t xml:space="preserve">
Капитальный ремонт окна Черемушки 13, Черемушки 14, Черемушки 15, Черемушки 16, Юрьева 7, Речная 27, Левченко 4 - 3709332,9+11701864,85
Составление проектно сметной - 0 сняли 
Рзборка ул Морская - 0 сняли</t>
        </r>
      </text>
    </comment>
    <comment ref="B11" authorId="0">
      <text>
        <r>
          <rPr>
            <b/>
            <sz val="9"/>
            <color indexed="81"/>
            <rFont val="Tahoma"/>
            <family val="2"/>
            <charset val="204"/>
          </rPr>
          <t>Автор:</t>
        </r>
        <r>
          <rPr>
            <sz val="9"/>
            <color indexed="81"/>
            <rFont val="Tahoma"/>
            <family val="2"/>
            <charset val="204"/>
          </rPr>
          <t xml:space="preserve">
Капитальный ремонт окон Черемушки 13) 6 270 000
Капитальный ремонт окон Черемушки 14) 7 050 000
Капитальный ремонт окон Черемушки 15) 6 270 000
Капитальный ремонт окон Черемушки 16) 7 050 000
Составление смет 532 800</t>
        </r>
      </text>
    </comment>
  </commentList>
</comments>
</file>

<file path=xl/comments5.xml><?xml version="1.0" encoding="utf-8"?>
<comments xmlns="http://schemas.openxmlformats.org/spreadsheetml/2006/main">
  <authors>
    <author>Автор</author>
  </authors>
  <commentList>
    <comment ref="B60" authorId="0">
      <text>
        <r>
          <rPr>
            <b/>
            <sz val="9"/>
            <color indexed="81"/>
            <rFont val="Tahoma"/>
            <family val="2"/>
            <charset val="204"/>
          </rPr>
          <t>Автор:</t>
        </r>
        <r>
          <rPr>
            <sz val="9"/>
            <color indexed="81"/>
            <rFont val="Tahoma"/>
            <family val="2"/>
            <charset val="204"/>
          </rPr>
          <t xml:space="preserve">
Приобретение коллективного прибора край 180 наши 7,37
Установка 300
Доставка 12
Устаеновка ОДПУ 1700
</t>
        </r>
      </text>
    </comment>
    <comment ref="B61" authorId="0">
      <text>
        <r>
          <rPr>
            <b/>
            <sz val="9"/>
            <color indexed="81"/>
            <rFont val="Tahoma"/>
            <family val="2"/>
            <charset val="204"/>
          </rPr>
          <t>Автор:</t>
        </r>
        <r>
          <rPr>
            <sz val="9"/>
            <color indexed="81"/>
            <rFont val="Tahoma"/>
            <family val="2"/>
            <charset val="204"/>
          </rPr>
          <t xml:space="preserve">
Установка 200
Доставка 12
Пуско-наладочые работы 100
Изготовлеие 200
</t>
        </r>
      </text>
    </comment>
    <comment ref="B87" authorId="0">
      <text>
        <r>
          <rPr>
            <b/>
            <sz val="9"/>
            <color indexed="81"/>
            <rFont val="Tahoma"/>
            <family val="2"/>
            <charset val="204"/>
          </rPr>
          <t>Автор:</t>
        </r>
        <r>
          <rPr>
            <sz val="9"/>
            <color indexed="81"/>
            <rFont val="Tahoma"/>
            <family val="2"/>
            <charset val="204"/>
          </rPr>
          <t xml:space="preserve">
прокладка труб наши 1200
установка край 216 наши 4,32
</t>
        </r>
      </text>
    </comment>
    <comment ref="B125" authorId="0">
      <text>
        <r>
          <rPr>
            <b/>
            <sz val="9"/>
            <color indexed="81"/>
            <rFont val="Tahoma"/>
            <family val="2"/>
            <charset val="204"/>
          </rPr>
          <t>Автор:</t>
        </r>
        <r>
          <rPr>
            <sz val="9"/>
            <color indexed="81"/>
            <rFont val="Tahoma"/>
            <family val="2"/>
            <charset val="204"/>
          </rPr>
          <t xml:space="preserve">
Дорожный фонд 2988,83172
Дорожные знаки 4,9
</t>
        </r>
      </text>
    </comment>
    <comment ref="B150" authorId="0">
      <text>
        <r>
          <rPr>
            <b/>
            <sz val="9"/>
            <color indexed="81"/>
            <rFont val="Tahoma"/>
            <family val="2"/>
            <charset val="204"/>
          </rPr>
          <t>Автор:</t>
        </r>
        <r>
          <rPr>
            <sz val="9"/>
            <color indexed="81"/>
            <rFont val="Tahoma"/>
            <family val="2"/>
            <charset val="204"/>
          </rPr>
          <t xml:space="preserve">
установка 50
лампы 292,4
</t>
        </r>
      </text>
    </comment>
    <comment ref="B152" authorId="0">
      <text>
        <r>
          <rPr>
            <b/>
            <sz val="9"/>
            <color indexed="81"/>
            <rFont val="Tahoma"/>
            <family val="2"/>
            <charset val="204"/>
          </rPr>
          <t>Автор:</t>
        </r>
        <r>
          <rPr>
            <sz val="9"/>
            <color indexed="81"/>
            <rFont val="Tahoma"/>
            <family val="2"/>
            <charset val="204"/>
          </rPr>
          <t xml:space="preserve">
Лампы 300
Ремонт 2000
</t>
        </r>
      </text>
    </comment>
    <comment ref="B163" authorId="0">
      <text>
        <r>
          <rPr>
            <b/>
            <sz val="9"/>
            <color indexed="81"/>
            <rFont val="Tahoma"/>
            <family val="2"/>
            <charset val="204"/>
          </rPr>
          <t>Автор:</t>
        </r>
        <r>
          <rPr>
            <sz val="9"/>
            <color indexed="81"/>
            <rFont val="Tahoma"/>
            <family val="2"/>
            <charset val="204"/>
          </rPr>
          <t xml:space="preserve">
Эксковатор 5350,0
Доставка техники 300,0
Кран 9670
Урал самосвал 4500
Урал илисос 5500
аккумуляторы 68,8
Колеса 100
Доставка техники 700
мат запасы 200
фильтры 100
такелаж 200
аккумуляторы 100
антифриз 50
Рессоры 300
</t>
        </r>
      </text>
    </comment>
    <comment ref="B164" authorId="0">
      <text>
        <r>
          <rPr>
            <b/>
            <sz val="9"/>
            <color indexed="81"/>
            <rFont val="Tahoma"/>
            <family val="2"/>
            <charset val="204"/>
          </rPr>
          <t>Автор:</t>
        </r>
        <r>
          <rPr>
            <sz val="9"/>
            <color indexed="81"/>
            <rFont val="Tahoma"/>
            <family val="2"/>
            <charset val="204"/>
          </rPr>
          <t xml:space="preserve">
Доставка 1050
Трактор 5000
сани 400
мат запасы 450</t>
        </r>
      </text>
    </comment>
    <comment ref="B165" authorId="0">
      <text>
        <r>
          <rPr>
            <b/>
            <sz val="9"/>
            <color indexed="81"/>
            <rFont val="Tahoma"/>
            <family val="2"/>
            <charset val="204"/>
          </rPr>
          <t>Автор:</t>
        </r>
        <r>
          <rPr>
            <sz val="9"/>
            <color indexed="81"/>
            <rFont val="Tahoma"/>
            <family val="2"/>
            <charset val="204"/>
          </rPr>
          <t xml:space="preserve">
трактор 5200
гидромолот 620
Самосвал 2 шт 9407</t>
        </r>
      </text>
    </comment>
    <comment ref="B166" authorId="0">
      <text>
        <r>
          <rPr>
            <b/>
            <sz val="9"/>
            <color indexed="81"/>
            <rFont val="Tahoma"/>
            <family val="2"/>
            <charset val="204"/>
          </rPr>
          <t>Автор:</t>
        </r>
        <r>
          <rPr>
            <sz val="9"/>
            <color indexed="81"/>
            <rFont val="Tahoma"/>
            <family val="2"/>
            <charset val="204"/>
          </rPr>
          <t xml:space="preserve">
самосвал 2 шт. 90077,755
болотоход 9300
гидромолот 365,8
мат части 404
зап части 400</t>
        </r>
      </text>
    </comment>
    <comment ref="B228" authorId="0">
      <text>
        <r>
          <rPr>
            <b/>
            <sz val="9"/>
            <color indexed="81"/>
            <rFont val="Tahoma"/>
            <family val="2"/>
            <charset val="204"/>
          </rPr>
          <t>Автор:</t>
        </r>
        <r>
          <rPr>
            <sz val="9"/>
            <color indexed="81"/>
            <rFont val="Tahoma"/>
            <family val="2"/>
            <charset val="204"/>
          </rPr>
          <t xml:space="preserve">
Речная 24- 1800
Речная 27 - 2200
Школьная 5 - 165
Речная 27 - 2400 
Лиманный 8  - 1600
Левченко 33 - 1700
Материалы - 1205,26018
Левченко 4- 2500
Школьная 9 - 2500
Левченко 31 - 2100
Черемушки 15-2200
Черемушки 14- 2500
Черемушки 13-2100
/Левченко 34-2100
Речная 14 отопление 100
Левченко 14-2500
хвс Левченко 27 - 3016,43933</t>
        </r>
      </text>
    </comment>
    <comment ref="B229" authorId="0">
      <text>
        <r>
          <rPr>
            <b/>
            <sz val="9"/>
            <color indexed="81"/>
            <rFont val="Tahoma"/>
            <charset val="1"/>
          </rPr>
          <t>Автор:</t>
        </r>
        <r>
          <rPr>
            <sz val="9"/>
            <color indexed="81"/>
            <rFont val="Tahoma"/>
            <charset val="1"/>
          </rPr>
          <t xml:space="preserve">
Лиманный 8 - 3300
Левченко 33- 3300
Левченко 31- 3700
Левченко 34 - 3300
Черемушки 16 - 5200
Левченко 14 - 5200
Школьная 9 - 5200
Левченко 27- 3700
Юрьева 7 - 5200
Юрьев 17 - 5200
Речная 27 - 5200
Черемушки 13 - 500
Приобретение материалов 300
Фасад Юрьева черемушки - 500</t>
        </r>
      </text>
    </comment>
    <comment ref="B230" authorId="0">
      <text>
        <r>
          <rPr>
            <b/>
            <sz val="9"/>
            <color indexed="81"/>
            <rFont val="Tahoma"/>
            <charset val="1"/>
          </rPr>
          <t>Автор:</t>
        </r>
        <r>
          <rPr>
            <sz val="9"/>
            <color indexed="81"/>
            <rFont val="Tahoma"/>
            <charset val="1"/>
          </rPr>
          <t xml:space="preserve">
сметы 1500
Лиманный 8 - 3000
Левченко 33 - 3000
Левченко 31 - 3000
Левченко 34 - 3000
Левченко 27 - 3300
Левченко 14 - 3200
Школьная 9 - 3500
Черемушки 16- 3500
Черемушки 14- 3500
Черемушки 15-2500
Черемушки 13- 2500
Юрьева 7 - 3500
Юрьева 17- 3500
Речная 24 - 3000
Речная 26- 3000
Речная 27 - 3500
материал 500
Разборка Левченко 14 - 2492,36
Фасад Левченко 31 6000
Фасад Левченко 33 6000
фасад Юрьева 17 - 8102,20143
фасад Лиманный 8 - 10000,23974
фасад черемушки 13 - 8000
</t>
        </r>
      </text>
    </comment>
    <comment ref="B231" authorId="0">
      <text>
        <r>
          <rPr>
            <b/>
            <sz val="9"/>
            <color indexed="81"/>
            <rFont val="Tahoma"/>
            <charset val="1"/>
          </rPr>
          <t>Автор:</t>
        </r>
        <r>
          <rPr>
            <sz val="9"/>
            <color indexed="81"/>
            <rFont val="Tahoma"/>
            <charset val="1"/>
          </rPr>
          <t xml:space="preserve">
Кап ремонт крыш 1876
фасад: 
черемушки 14 7000
черемушки 15 - 6723,66443
черемушки 16 - 7000
Левчнко 31 - 6249,577
Левченко 14 - 8032,669
Левченко 4 - 7830,405
Юрьева 7 - 7957,024
Юрьева 17 - 8069,59
Речная 24 - 7000
Речная 27 - 8154,762
кап ремонт Школьная 10 - 1200
текущий ремонт кв 800
кровля Левченко 11 - 328
ремонт стен Левченк 34 8,9- 300
сметы 1524,099
разборка домов 600</t>
        </r>
      </text>
    </comment>
  </commentList>
</comments>
</file>

<file path=xl/sharedStrings.xml><?xml version="1.0" encoding="utf-8"?>
<sst xmlns="http://schemas.openxmlformats.org/spreadsheetml/2006/main" count="690" uniqueCount="116">
  <si>
    <t>№ п/п</t>
  </si>
  <si>
    <t xml:space="preserve">Номер и наименование муниицпальной программы, 
основного мероприятия </t>
  </si>
  <si>
    <t>Всего</t>
  </si>
  <si>
    <t>Краевой бюджет</t>
  </si>
  <si>
    <t xml:space="preserve">Местный бюджт </t>
  </si>
  <si>
    <t xml:space="preserve">Предельные объемы финансирования </t>
  </si>
  <si>
    <t xml:space="preserve">Внебюджетные 
источники </t>
  </si>
  <si>
    <t xml:space="preserve">Исполнитель мероприятий 
Программы </t>
  </si>
  <si>
    <t xml:space="preserve">Подпрограмма 1 "Энергосбережение и повышение энергетической эффективности в с. Ивашка" </t>
  </si>
  <si>
    <t>1.1.</t>
  </si>
  <si>
    <t>Замена ветхих и авайных сетей 
теплоснабжения ул. Школьная юг 349 м.п.</t>
  </si>
  <si>
    <t xml:space="preserve">Замена ветхих и авайных сетей 
теплоснабжения ул. Юрьева, ул. Речная, ул. Солнечная </t>
  </si>
  <si>
    <t>Срок 
исполнения
 мероприятия</t>
  </si>
  <si>
    <t>Замена ветхих и авайных сетей 
теплоснабжения ул. Черемушки - север 676 м.п.</t>
  </si>
  <si>
    <t>Замена ветхих и авайных сетей 
теплоснабжения ул. Строительная - север 647 м.п.</t>
  </si>
  <si>
    <t>Ремонт отопения ул. Юрьева д. 7</t>
  </si>
  <si>
    <t>(тыс.руб.)</t>
  </si>
  <si>
    <t xml:space="preserve">Установка труб системы отопления по ул. Строительная </t>
  </si>
  <si>
    <t xml:space="preserve">Капитальный ремонт сетей теплоснабжения ул. Левченко (с опускание труб под землю) </t>
  </si>
  <si>
    <t xml:space="preserve">Составление проектно- сметной документации </t>
  </si>
  <si>
    <t xml:space="preserve">Государственная экспертиза </t>
  </si>
  <si>
    <t xml:space="preserve">Приобретение материалов для капитального ремонта 
ул. Речная </t>
  </si>
  <si>
    <t xml:space="preserve">Капитальный ремонт сетей теплоснабжения ул. Школьная (с опускание труб под землю) </t>
  </si>
  <si>
    <t xml:space="preserve">Капитальный ремонт сетей теплоснабжения ул. Черемушки (с опускание труб под землю) </t>
  </si>
  <si>
    <t>1.2.</t>
  </si>
  <si>
    <t xml:space="preserve">Мероприятия 1.1.
Проведение мероприятий направленных на 
ремонт ветхих и аварийных сетей: </t>
  </si>
  <si>
    <t xml:space="preserve">Мероприяти 1.2. 
Мероприятия направленные на проведение техничского учета и инвентаризации объектов топливно - энергетического и жилищно- коммунального комплекса </t>
  </si>
  <si>
    <t xml:space="preserve">Выполнение работ по технической инвентаризации и изготовлению технических планов (паспортов) на объекты жилищного фонда на территории с. Ивашка
Выполнение кадастровых работ с целью подготовки планов для дальнейшей постановки на государственный кадастровый учет сооружений линий электропередач 
Выполнение геодезических работ с целью подготовки съемки на объект недвижимости сооружений линий электропередач
Выполнение кадастровых работ с целью подготовки технического плана сооружения Наружные тепловые сети (ул. Юрьева, ул. Морская, ул. Солнечная, ул. Речная) 
Выполнение кадастровых работ с целью подготовки технического плана сооружения Наружные сети холодного водоснабжения 
Выполнение кадастровых работ с целью подготовки технического плана сооружения Наружные тепловые сети (ул. Левченко, ул. Строительная, ул. Черемушки, ул. Школьная) 
Выполнение кадастровых работ коммунальные сети
</t>
  </si>
  <si>
    <t xml:space="preserve">Выполнение работ по технической инвентаризации и изготовлению технических планов (паспортов) на объекты жилищного фонда на территории с. Ивашка, с постановкой на кадастровый учет и 
Кадастровые работы ЛЭП Пограничная 
Выполнение кадастровых работ с целью подготовки охранной зоны ЛЭП 
Выполнение кадастровых работ с целью подготовки охранной зоны ГВС (наружные тепловые сети) 
</t>
  </si>
  <si>
    <t>1.3.</t>
  </si>
  <si>
    <t>Мероприятие 1.3.
Модернизация систем энерго-, теплоснабжения</t>
  </si>
  <si>
    <t>1.4.</t>
  </si>
  <si>
    <t>Мероприятие 1.4.
Проведение мероприятий по установке коллективных (общедомовых) приборов учета в многоквартирных домах</t>
  </si>
  <si>
    <t>Установка коллективного прибора учета на системе
 теплоснабжения жилого дома №27 по ул. Левченко</t>
  </si>
  <si>
    <t>Установка коллективного прибора учета на ч
системе теплоснабжения жилого дома№15 по ул. Черемушки</t>
  </si>
  <si>
    <t xml:space="preserve">Приобретение  коллективного прибора учета на системе теплоснабжения жилого дома №14 по ул. Черемушки
Установка коллективного прибора учета на системе теплоснабжения жилого дома №14 по ул. Черемушки
Доставка теплового счетчика до п/п Ивашка
Установка ОДПУ на электроэнергию -17 шт 
</t>
  </si>
  <si>
    <t xml:space="preserve">Установка коллективного прибора учета на системе теплоснабжения жилого дома №4по ул. Левченко
Доставка счетчика до п/п Ивашка
Пуско –наладочные работы
Изготовление коллективного прибора учета на системе теплоснабжения жилого дома по ул. Левченко д. 4
</t>
  </si>
  <si>
    <t xml:space="preserve">
Всего по подпрограмме 1:
</t>
  </si>
  <si>
    <t>Подпрограмма 2 «Чистая вода в с. Ивашка»</t>
  </si>
  <si>
    <t>2.1.</t>
  </si>
  <si>
    <t>Мероприятие 2.1.
Проведение технических мероприятий направленных на решение вопросов по улучшению работы систем водоснабжения и водоотведения</t>
  </si>
  <si>
    <t>Ремонт насосов водозаборной станции с. Ивашка</t>
  </si>
  <si>
    <t xml:space="preserve">Ремонт труб в здании насосной станции </t>
  </si>
  <si>
    <t xml:space="preserve">Прокладка 800м водопровода от насосной станции до водонапорной башни
Установка насосной станции в здании водонапорной башни
</t>
  </si>
  <si>
    <t>2.2.</t>
  </si>
  <si>
    <t>Мероприятие 2.2. 
Проведение мероприятий направленных на реконструкцию и строительство систем водоснабжения</t>
  </si>
  <si>
    <t>Реконструкция систем водоснабжения с. Ивашка</t>
  </si>
  <si>
    <t>Обустройство водозаборных сооружений, 
с бурением дополнительных скважин и разработкой проектной документации на строительство централизованной системы водоснабжения с. Ивашка</t>
  </si>
  <si>
    <t>Обустройство водозаборных сооружений с 
бурением дополнительной скважины и строительством централизованной системы водоснабжения в с. Ивашка, Карагинского района (в том числе разработка проектной документации)</t>
  </si>
  <si>
    <t>Обустройство водозаборных сооружений 
с бурением дополнительной скважины и строительством централизованной системы водоснабжения в с. Ивашка, Карагинского района (в том числе разработка проектной документации)</t>
  </si>
  <si>
    <t>Всего по подпрограмме 2 :</t>
  </si>
  <si>
    <t>Подпрограмма 3 «Комплексное благоустройство сельского поселения «село Ивашка» на 2014-2020 годы»</t>
  </si>
  <si>
    <t>3.1.</t>
  </si>
  <si>
    <t>Мероприятие 3.1.
Капитальный ремонт и ремонт автомобильных дорог общего пользования (в том числе элементов улично – дорожной сети, включая тротуары и парковки), дворовые территории многоквартирных домов и проездов к ним</t>
  </si>
  <si>
    <t>Выполнение землеустроительных (кадастровых) 
работ по разграничению улично-дорожной сети местного значения от других землепользователей на территории с. Ивашка, Карагинского района, Камчатского края</t>
  </si>
  <si>
    <t>Устройство придомовых дорожек за счет средств дорожного фонда</t>
  </si>
  <si>
    <t xml:space="preserve">Ремонт тротуаров
Устройство придомовых дорожек за счет средств дорожного фонда
</t>
  </si>
  <si>
    <t xml:space="preserve">Ремонт и реконструкция межквартальных и придомовых территорий, участок по ул. Левченко, 14, ул. Левченко, 18, ул. Левченко, 20, ул. Левченко, 27, ул. Левченко, 31 (дорожный фонд)
Изготовление светоотражающих знаков (№1.23 и № 8.2.1)
</t>
  </si>
  <si>
    <t>Ремонт и реконструкция межквартальных и придомовых территорий, участок по ул. Левченко, 14, ул. Левченко, 18, ул. Левченко, 20, ул. Левченко, 27, ул. Левченко, 31
 (дорожный фонд)</t>
  </si>
  <si>
    <t>Ремонт и реконструкция межквартальных и придомовых территорий, участок по ул. Левченко, 14, ул. Левченко, 18, ул. Левченко, 20, ул. Левченко, 27, ул. Левченко, 31
 (дорожный фонд)
Выполнение геодезических работ на объекты недвижимости улично – дорожную сеть с. Ивашка</t>
  </si>
  <si>
    <t>3.2.</t>
  </si>
  <si>
    <t>Ландшафтная организация территории</t>
  </si>
  <si>
    <t>3.3.</t>
  </si>
  <si>
    <t>Ремонт и реконструкция уличных сетей 
наружного освещения</t>
  </si>
  <si>
    <t>Покупка столбов ЛЭП на ул. Школьная</t>
  </si>
  <si>
    <t>Приобретение ламп уличного освещения</t>
  </si>
  <si>
    <t>Приобретение ламп уличного освещения
Ремонт уличного освещения</t>
  </si>
  <si>
    <t xml:space="preserve">ул. Школьная от дома № 1 до дома № 23
ул. Юрьева от дома № 17 до дома № 27 ул. Черемушки дом 5б
установка 
приобретение и доставка ламп
</t>
  </si>
  <si>
    <t>3.4.</t>
  </si>
  <si>
    <t>Приобретение строительно-дорожной и 
коммунальной техники</t>
  </si>
  <si>
    <t>Экскаватор – погрузчик 
TEREKC TLB – 825 RM
Доставка техники до п/п Ивашка
Поставка крана автомобильного КС-55733
Приобретение и доставка Урала – самосвала 
Приобретение и доставка Урал – илосос 10 куб. 
Приобретение аккумуляторов (4 шт.)
Приобретение и доставка колес (автогрейдер, Урал)
Доставка техники до п/п Ивашка (Урал- самосвал), Урал – илосос)
Материальные запасы 
Масляные, топливные фильтры
Такелаж на технику 
Аккумуляторы (4 шт.)
Антифриз 
Рессоры в сборе на илосос</t>
  </si>
  <si>
    <t>Доставка техники до п/п Ивашка (Урал- самосвал), Урал – илосос)
Поставка трактора ВТГ 90А-ХС4 с бульдозерным оборудованием в комплекте с фрезерно – роторным снегоочистителем с доставкой до п/п Ивашка
Приобретение саней металлических для 
трактора 2 шт.
Приобретение материальных запасов (запчасти на технику)</t>
  </si>
  <si>
    <t xml:space="preserve">Поставка трактора ВТГ 90А-ХС4 с бульдозерным оборудованием в комплекте с фрезерно – роторным снегоочистителем с доставкой до с. Ивашка
Поставка гидромолота с доставкой до г. Петропавловск – Камчатский 
Поставка самосвала 2 шт. с доставкой до г. Петропавловск – Камчатский </t>
  </si>
  <si>
    <t xml:space="preserve">Доставка техники до п/п П-К 
Самосвал 2 шт.
Трактор болотоход
Гидромолот
Запасные части (Стартер – 4 шт.,Генератор -4 шт., Колесо – 6 шт.,Аккумулятор- 4 шт.)
Запасные части 
</t>
  </si>
  <si>
    <t xml:space="preserve">3.5. </t>
  </si>
  <si>
    <t>Мероприятие 3.5. 
Установка, проектирование, восстановление малых архитектурных форм и детских площадок</t>
  </si>
  <si>
    <t xml:space="preserve">Приобретение и доставка оборудования для благоустройства 
Приобретение детской площадки </t>
  </si>
  <si>
    <t xml:space="preserve">Доставка детской площадки до п/п Ивашка
Приобретение детской площадки
</t>
  </si>
  <si>
    <t xml:space="preserve">Устройство малых архитектурных форм (насыпь мост)
Выполнение проектных работ (мост) 
Изыскательные работы 
Бетономешалка 160 л.-2 шт.
Приобретение цемента -200тн
Приобретение арматурыØ12-10 тн.
Устройство детской площадки 
Монтаж мемориала ВОВ
Изготовление мемориала ВОВ
Приобретение кустарников </t>
  </si>
  <si>
    <t>3.6.</t>
  </si>
  <si>
    <t>Мероприятие 3.6. 
Ремонт, реконструкция и устройство ограждений объектов социальной сферы, парков, скверов, мест традиционного захоронения</t>
  </si>
  <si>
    <t>3.7.</t>
  </si>
  <si>
    <t>Мероприятие 3.7.
Расходы на оплату уличного освещения</t>
  </si>
  <si>
    <t xml:space="preserve">Всего по подпрограмме 3: </t>
  </si>
  <si>
    <t>Администрация МО-СП "село Ивашка"</t>
  </si>
  <si>
    <t>Подпрограмма 4 «Капитальный ремонт многоквартирных домов в с. Ивашка»</t>
  </si>
  <si>
    <t>4.1.</t>
  </si>
  <si>
    <t>Мероприятие 4.1. 
Капитальный ремонт многоквартирных домов:</t>
  </si>
  <si>
    <t xml:space="preserve">Всего по Программе </t>
  </si>
  <si>
    <t xml:space="preserve">Всего по подпрограмме 4: </t>
  </si>
  <si>
    <t>Капитальный ремонт крыши Левченко д. 27</t>
  </si>
  <si>
    <t xml:space="preserve">Капитальный ремонт ХВС и отопления Левченко д..14 </t>
  </si>
  <si>
    <t xml:space="preserve">Ремонт системы отопления и ХВС ул. Речная д. 24
Ремонт системы отопления и ХВС ул. речная д. 27
Капитальный ремонт крыши ул. Школьная д. 5
Капитальный ремонт кровли МКД ул. Речная д. 27
Ремонт кровли МКД пер. Лиманный д. 8
Капитальный ремонт кровли МКД ул. Левченко д. 33
Приобретение материалов 
Капитальный ремонт кровли МКД ул. Левченко д. 4
Капитальный ремонт кровли МКД ул. Школьная д. 9
Капитальный ремонт кровли МКД ул. Левченко д. 31
Капитальный ремонт кровли МКД ул. Черемушки д. 15
Капитальный ремонт кровли МКД ул. Черемушки д. 14
Капитальный ремонт кровли МКД ул. Черемушки д. 13
Капитальный ремонт кровли МКД ул. Левченко д. 34
Ремонт Речная д.14 (отопление)
Капитальный ремонт кровли МКД ул. Левченко д.14
Капитальный ремонт водоотведения МКД ул. Левченко д. 27
</t>
  </si>
  <si>
    <t xml:space="preserve">Капитальный ремонт системы водоотведения пер. Лиманный д. 8
Капитальный ремонт системы водоотведения ул. Левченко д. 33
Капитальный ремонт системы водоотведения ул. Левченко д. 31
Капитальный ремонт системы водоотведения ул. Левченко д. 34
Капитальный ремонт системы водоотведения ул. Черемушки д. 16
Капитальный ремонт системы водоотведения ул. Левченко д. 14
Капитальный ремонт системы водоотведения ул. Школьная д. 9
Капитальный ремонт системы водоотведения ул. Левченко д. 27
Капитальный ремонт системы водоотведения ул. Юрьева д. 7
Капитальный ремонт системы водоотведения ул. Юрьева д. 17
Капитальный ремонт системы водоотведения ул. Речная д. 27
Ремонт фасада ул. Черемушки д. 13
Приобретение материалов
Частичный ремонт фасадов (ул. Юрьева д. 7, ул. Черемушки д. 16)
</t>
  </si>
  <si>
    <t xml:space="preserve">Изготовление проектной документации на капитальный ремонт домов
Капитальный ремонт электропроводки дома №8 по пер. Лиманный
Капитальный ремонт электропроводки дома №33 по ул. Левченко
Капитальный ремонт электропроводки дома №31 по ул. Левченко
Капитальный ремонт электропроводки дома №34 по ул. Левченко
Капитальный ремонт электропроводки дома №27 по ул. Левченко
Капитальный ремонт электропроводки дома №14 по ул. Левченко
Капитальный ремонт электропроводки дома №9 по ул. Школьная
Капитальный ремонт электропроводки дома №16 по ул. Черемушки
Капитальный ремонт электропроводки дома №14 по ул. Черемушки
Капитальный ремонт электропроводки дома №15 по ул. Черемушки
Капитальный ремонт электропроводки дома №13 по ул. Черемушки
Капитальный ремонт электропроводки дома №7 по ул. Юрьева
Капитальный ремонт электропроводки дома №17 по ул. Юрьева
Капитальный ремонт электропроводки дома №24 по ул. Речная
Капитальный ремонт электропроводки дома №26 по ул. Речная
Капитальный ремонт электропроводки дома №27 по ул. Речная
Приобретение материала
Частичная разборка подъезда и ремонт юж. стороны дома №14 по ул. Левченко
Капитальный ремонт фасада ул. Левченко дом № 31 (субсидия)
Капитальный ремонт фасада ул. Левченко дом № 33 (субсидия)
Капитальный ремонт фасада ул. Юрьева дом № 17 (субсидия) 
Капитальный ремонт фасада пер. Лиманный дом № 8 (субсидия)
Капитальный ремонт фасада ул. Черемушки  дом № 13 (субсидия)
</t>
  </si>
  <si>
    <t xml:space="preserve">Капитальный ремонт крыши ул. Юрьева д.2, ул. Юрьева д.8, ул. Юрьева д. 13, ул. Юрьева д.6, ул. Юрьева д. 12) 
Капитальный ремонт фасада ул. Черемушки д. 14
Капитальный ремонт фасада ул. Черемушки д. 15
Капитальный ремонт фасада ул. Черемушки д. 16
Капитальный ремонт фасада ул. Левченко д. 31
Капитальный ремонт фасада ул. Левченко д. 14
Капитальный ремонт фасада ул. Левченко д. 4
Капитальный ремонт фасада ул. Юрьева д. 7
Капитальный ремонт фасада ул. Юрьева д. 17
Капитальный ремонт фасада ул. Речная д. 24
Капитальный ремонт фасада ул. Речная д. 27
Капитальный ремонт жилого дома ул. Школьная 10
текущий ремонт кв. № 2 дом 10 ул. Школьная 
Капитальный ремонт кровли Левченко 11
Текущий ремонт стен (кв.8,9 Левченко 4)
Изготовление сметной документации (Карапищенко)
Разборка дома (Левченко 13,15) </t>
  </si>
  <si>
    <t xml:space="preserve">капитальный ремонт многоквартирных домов </t>
  </si>
  <si>
    <t xml:space="preserve">Муниципальная программа ""Энергоэффективность, развитие энергетики и коммунального хозяйства, обеспечение
 жителей с. Ивашка коммунальными услугами и услугами по благоустройству территорий на 2014-2025 годы" </t>
  </si>
  <si>
    <t xml:space="preserve">Выполнение кадастровых работ с целью подготовки охранной зоны сооружений ГВС и ХВС  </t>
  </si>
  <si>
    <t xml:space="preserve">Строительство сооружения электрожнергетики </t>
  </si>
  <si>
    <t xml:space="preserve">Приобретение и доставка техники </t>
  </si>
  <si>
    <t xml:space="preserve">Благоустройство территорий </t>
  </si>
  <si>
    <t xml:space="preserve">Капитальный ремонт многоквартирных домов </t>
  </si>
  <si>
    <t>Обустройство водозаборных сооружений 
с бурением дополнительной скважины и строительством централизованной системы водоснабжения в с. Ивашка, Карагинского района (в том числе разработка проектной документации)
Разработка документации "проект планировки и межевания территории для строительства водозаборных сооружений и системы водоснабжения села Ивашка"</t>
  </si>
  <si>
    <t xml:space="preserve">Мероприятия муниципальной программы "Энергоэффективность, развитие энергетики и коммунального хозяйства, обеспечение
 жителей с. Ивашка коммунальными услугами и услугами по благоустройству территорий" </t>
  </si>
  <si>
    <t>Краевой 
бюджет</t>
  </si>
  <si>
    <t xml:space="preserve">Местный 
бюджт </t>
  </si>
  <si>
    <t>Подпрограмма 3 «Комплексное благоустройство сельского поселения «село Ивашка»»</t>
  </si>
  <si>
    <t>Устройство придомовых дорожек
 за счет средств дорожного фонда</t>
  </si>
  <si>
    <t xml:space="preserve">Мероприятия муниципальной программы "Энергоэффективность, развитие энергетики и коммунального хозяйства, обеспечение
 жителей с. Ивашка коммунальными услугами и услугами по благоустройству территории" </t>
  </si>
  <si>
    <t>Дорожный фонд</t>
  </si>
  <si>
    <t xml:space="preserve">ремонт ветхих и аварийных сетей </t>
  </si>
  <si>
    <t xml:space="preserve">Техническое обследование централизованной системы теплоснабжения села Ивашка, карагинский район </t>
  </si>
  <si>
    <t>Дорожный фонд
приобретение дорожных знаков 4*4800</t>
  </si>
  <si>
    <r>
      <t xml:space="preserve">Приложение № 2 к
 Постановлению администрации 
сельского поселения "село Ивашка" 
</t>
    </r>
    <r>
      <rPr>
        <sz val="10"/>
        <rFont val="Times New Roman"/>
        <family val="1"/>
        <charset val="204"/>
      </rPr>
      <t>от 16 июня 2021 года № 42 а</t>
    </r>
  </si>
  <si>
    <t>(руб.)</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</si>
</sst>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charset val="204"/>
      <scheme val="minor"/>
    </font>
    <font>
      <sz val="11"/>
      <color theme="1"/>
      <name val="Times New Roman"/>
      <family val="1"/>
      <charset val="204"/>
    </font>
    <font>
      <sz val="10"/>
      <color theme="1"/>
      <name val="Times New Roman"/>
      <family val="1"/>
      <charset val="204"/>
    </font>
    <font>
      <b/>
      <sz val="10"/>
      <color theme="1"/>
      <name val="Times New Roman"/>
      <family val="1"/>
      <charset val="204"/>
    </font>
    <font>
      <b/>
      <sz val="11"/>
      <color theme="1"/>
      <name val="Times New Roman"/>
      <family val="1"/>
      <charset val="204"/>
    </font>
    <font>
      <sz val="8"/>
      <color theme="1"/>
      <name val="Times New Roman"/>
      <family val="1"/>
      <charset val="204"/>
    </font>
    <font>
      <sz val="9"/>
      <color indexed="81"/>
      <name val="Tahoma"/>
      <family val="2"/>
      <charset val="204"/>
    </font>
    <font>
      <b/>
      <sz val="9"/>
      <color indexed="81"/>
      <name val="Tahoma"/>
      <family val="2"/>
      <charset val="204"/>
    </font>
    <font>
      <b/>
      <sz val="8"/>
      <color theme="1"/>
      <name val="Times New Roman"/>
      <family val="1"/>
      <charset val="204"/>
    </font>
    <font>
      <sz val="9"/>
      <color indexed="81"/>
      <name val="Tahoma"/>
      <charset val="1"/>
    </font>
    <font>
      <b/>
      <sz val="9"/>
      <color indexed="81"/>
      <name val="Tahoma"/>
      <charset val="1"/>
    </font>
    <font>
      <sz val="10"/>
      <name val="Times New Roman"/>
      <family val="1"/>
      <charset val="204"/>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225">
    <xf numFmtId="0" fontId="0" fillId="0" borderId="0" xfId="0"/>
    <xf numFmtId="0" fontId="1" fillId="0" borderId="0" xfId="0" applyFont="1"/>
    <xf numFmtId="0" fontId="1" fillId="0" borderId="1" xfId="0" applyFont="1" applyBorder="1"/>
    <xf numFmtId="0" fontId="1" fillId="0" borderId="0" xfId="0" applyFont="1" applyAlignment="1">
      <alignment wrapText="1"/>
    </xf>
    <xf numFmtId="0" fontId="3" fillId="0" borderId="1" xfId="0" applyFont="1" applyBorder="1" applyAlignment="1">
      <alignment vertical="center"/>
    </xf>
    <xf numFmtId="0" fontId="4" fillId="0" borderId="1" xfId="0" applyFont="1" applyBorder="1"/>
    <xf numFmtId="0" fontId="4" fillId="0" borderId="0" xfId="0" applyFont="1"/>
    <xf numFmtId="0" fontId="4" fillId="0" borderId="0" xfId="0" applyFont="1" applyAlignment="1">
      <alignment vertical="center"/>
    </xf>
    <xf numFmtId="0" fontId="8" fillId="0" borderId="1" xfId="0" applyFont="1" applyBorder="1"/>
    <xf numFmtId="0" fontId="3" fillId="0" borderId="1" xfId="0" applyFont="1" applyBorder="1"/>
    <xf numFmtId="0" fontId="2" fillId="0" borderId="1" xfId="0" applyFont="1" applyBorder="1"/>
    <xf numFmtId="0" fontId="2" fillId="0" borderId="0" xfId="0" applyFont="1"/>
    <xf numFmtId="0" fontId="3" fillId="0" borderId="1" xfId="0" applyFont="1" applyBorder="1" applyAlignment="1">
      <alignment horizontal="center" vertical="center"/>
    </xf>
    <xf numFmtId="0" fontId="4" fillId="0" borderId="0" xfId="0" applyFont="1" applyAlignment="1">
      <alignment horizontal="center" vertical="center"/>
    </xf>
    <xf numFmtId="0" fontId="5" fillId="0" borderId="0" xfId="0" applyFont="1"/>
    <xf numFmtId="0" fontId="8" fillId="0" borderId="1" xfId="0" applyFont="1" applyBorder="1" applyAlignment="1">
      <alignment vertical="center"/>
    </xf>
    <xf numFmtId="0" fontId="8" fillId="0" borderId="1" xfId="0" applyFont="1" applyBorder="1" applyAlignment="1">
      <alignment vertical="center" wrapText="1"/>
    </xf>
    <xf numFmtId="0" fontId="5" fillId="0" borderId="1" xfId="0" applyNumberFormat="1" applyFont="1" applyBorder="1"/>
    <xf numFmtId="0" fontId="5" fillId="0" borderId="1" xfId="0" applyFont="1" applyBorder="1"/>
    <xf numFmtId="0" fontId="5" fillId="0" borderId="1" xfId="0" applyFont="1" applyBorder="1" applyAlignment="1">
      <alignment horizontal="center"/>
    </xf>
    <xf numFmtId="0" fontId="5" fillId="0" borderId="1" xfId="0" applyFont="1" applyBorder="1" applyAlignment="1">
      <alignment horizontal="center" vertical="center" wrapText="1"/>
    </xf>
    <xf numFmtId="0" fontId="5" fillId="0" borderId="1" xfId="0" applyFont="1" applyBorder="1" applyAlignment="1">
      <alignment horizontal="center" wrapText="1"/>
    </xf>
    <xf numFmtId="4" fontId="5" fillId="0" borderId="1" xfId="0" applyNumberFormat="1" applyFont="1" applyBorder="1" applyAlignment="1">
      <alignment horizontal="center"/>
    </xf>
    <xf numFmtId="0" fontId="8" fillId="0" borderId="1" xfId="0" applyFont="1" applyBorder="1" applyAlignment="1">
      <alignment horizontal="center" vertical="center"/>
    </xf>
    <xf numFmtId="0" fontId="8" fillId="0" borderId="0" xfId="0" applyFont="1" applyAlignment="1">
      <alignment vertical="center"/>
    </xf>
    <xf numFmtId="4" fontId="8" fillId="0" borderId="1" xfId="0" applyNumberFormat="1" applyFont="1" applyBorder="1" applyAlignment="1">
      <alignment vertical="center"/>
    </xf>
    <xf numFmtId="4" fontId="8" fillId="0" borderId="1" xfId="0" applyNumberFormat="1" applyFont="1" applyBorder="1"/>
    <xf numFmtId="0" fontId="8" fillId="0" borderId="0" xfId="0" applyFont="1"/>
    <xf numFmtId="0" fontId="5" fillId="0" borderId="1" xfId="0" applyFont="1" applyBorder="1" applyAlignment="1"/>
    <xf numFmtId="0" fontId="8" fillId="0" borderId="0" xfId="0" applyFont="1" applyAlignment="1">
      <alignment horizontal="center" vertical="center"/>
    </xf>
    <xf numFmtId="0" fontId="2" fillId="0" borderId="0" xfId="0" applyFont="1" applyAlignment="1">
      <alignment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1" fillId="0" borderId="0" xfId="0" applyFont="1" applyAlignment="1">
      <alignment vertical="center"/>
    </xf>
    <xf numFmtId="0" fontId="3" fillId="0" borderId="0" xfId="0" applyFont="1"/>
    <xf numFmtId="0" fontId="2" fillId="0" borderId="1" xfId="0" applyFont="1" applyBorder="1" applyAlignment="1">
      <alignment vertical="center"/>
    </xf>
    <xf numFmtId="0" fontId="5" fillId="0" borderId="3" xfId="0" applyFont="1" applyBorder="1" applyAlignment="1">
      <alignment horizontal="center" vertical="center"/>
    </xf>
    <xf numFmtId="0" fontId="8" fillId="0" borderId="1" xfId="0" applyFont="1" applyBorder="1" applyAlignment="1">
      <alignment horizontal="center" vertical="center"/>
    </xf>
    <xf numFmtId="0" fontId="8" fillId="0" borderId="1" xfId="0" applyFont="1" applyBorder="1" applyAlignment="1">
      <alignment horizont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8" fillId="0" borderId="5"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2" fillId="0" borderId="0" xfId="0" applyFont="1" applyAlignment="1">
      <alignment horizontal="center"/>
    </xf>
    <xf numFmtId="0" fontId="2" fillId="0" borderId="1" xfId="0" applyFont="1" applyBorder="1" applyAlignment="1">
      <alignment horizontal="center"/>
    </xf>
    <xf numFmtId="0" fontId="1" fillId="0" borderId="1" xfId="0" applyFont="1" applyBorder="1" applyAlignment="1">
      <alignment horizontal="center"/>
    </xf>
    <xf numFmtId="0" fontId="3" fillId="0" borderId="1" xfId="0" applyFont="1" applyBorder="1" applyAlignment="1">
      <alignment horizontal="center"/>
    </xf>
    <xf numFmtId="0" fontId="4" fillId="0" borderId="1" xfId="0" applyFont="1" applyBorder="1" applyAlignment="1">
      <alignment horizontal="center"/>
    </xf>
    <xf numFmtId="0" fontId="1" fillId="0" borderId="0" xfId="0" applyFont="1" applyAlignment="1">
      <alignment horizontal="center"/>
    </xf>
    <xf numFmtId="0" fontId="8" fillId="0" borderId="5" xfId="0" applyFont="1" applyBorder="1"/>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5" xfId="0" applyFont="1" applyBorder="1"/>
    <xf numFmtId="0" fontId="4" fillId="0" borderId="1" xfId="0" applyFont="1" applyBorder="1" applyAlignment="1">
      <alignment horizontal="center" vertical="center"/>
    </xf>
    <xf numFmtId="2" fontId="5" fillId="0" borderId="1" xfId="0" applyNumberFormat="1" applyFont="1" applyBorder="1"/>
    <xf numFmtId="2" fontId="1" fillId="0" borderId="1" xfId="0" applyNumberFormat="1" applyFont="1" applyBorder="1"/>
    <xf numFmtId="2" fontId="8" fillId="0" borderId="1" xfId="0" applyNumberFormat="1" applyFont="1" applyBorder="1"/>
    <xf numFmtId="2" fontId="0" fillId="0" borderId="0" xfId="0" applyNumberFormat="1"/>
    <xf numFmtId="2" fontId="2" fillId="0" borderId="1" xfId="0" applyNumberFormat="1" applyFont="1" applyBorder="1"/>
    <xf numFmtId="4" fontId="5" fillId="0" borderId="1" xfId="0" applyNumberFormat="1" applyFont="1" applyBorder="1"/>
    <xf numFmtId="4" fontId="1" fillId="0" borderId="1" xfId="0" applyNumberFormat="1" applyFont="1" applyBorder="1"/>
    <xf numFmtId="4" fontId="0" fillId="0" borderId="0" xfId="0" applyNumberFormat="1"/>
    <xf numFmtId="4" fontId="2" fillId="0" borderId="1" xfId="0" applyNumberFormat="1" applyFont="1" applyBorder="1"/>
    <xf numFmtId="4" fontId="3" fillId="0" borderId="1" xfId="0" applyNumberFormat="1" applyFont="1" applyBorder="1"/>
    <xf numFmtId="0" fontId="2" fillId="0" borderId="8"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4" fontId="8" fillId="0" borderId="1" xfId="0" applyNumberFormat="1" applyFont="1" applyBorder="1" applyAlignment="1">
      <alignment horizontal="center" vertical="center"/>
    </xf>
    <xf numFmtId="4" fontId="8" fillId="0" borderId="1" xfId="0" applyNumberFormat="1" applyFont="1" applyBorder="1" applyAlignment="1">
      <alignment horizontal="center"/>
    </xf>
    <xf numFmtId="0" fontId="0" fillId="0" borderId="0" xfId="0" applyAlignment="1">
      <alignment horizontal="center"/>
    </xf>
    <xf numFmtId="4" fontId="4" fillId="0" borderId="1" xfId="0" applyNumberFormat="1" applyFont="1" applyBorder="1"/>
    <xf numFmtId="4" fontId="1" fillId="0" borderId="0" xfId="0" applyNumberFormat="1" applyFont="1"/>
    <xf numFmtId="4" fontId="0" fillId="0" borderId="0" xfId="0" applyNumberFormat="1" applyAlignment="1">
      <alignment horizontal="center"/>
    </xf>
    <xf numFmtId="0" fontId="8" fillId="0" borderId="1" xfId="0" applyFont="1" applyBorder="1" applyAlignment="1">
      <alignment horizontal="center" vertical="center" wrapText="1"/>
    </xf>
    <xf numFmtId="0" fontId="5" fillId="0" borderId="3"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Fill="1" applyBorder="1"/>
    <xf numFmtId="0" fontId="5" fillId="0" borderId="1" xfId="0" applyFont="1" applyFill="1" applyBorder="1" applyAlignment="1">
      <alignment horizontal="center"/>
    </xf>
    <xf numFmtId="0" fontId="5" fillId="0" borderId="1" xfId="0" applyFont="1" applyFill="1" applyBorder="1" applyAlignment="1">
      <alignment horizontal="center" vertical="center" wrapText="1"/>
    </xf>
    <xf numFmtId="0" fontId="5" fillId="0" borderId="0" xfId="0" applyFont="1" applyFill="1"/>
    <xf numFmtId="0" fontId="1" fillId="0" borderId="0" xfId="0" applyFont="1" applyFill="1"/>
    <xf numFmtId="0" fontId="5" fillId="0" borderId="1" xfId="0" applyNumberFormat="1" applyFont="1" applyFill="1" applyBorder="1"/>
    <xf numFmtId="0" fontId="5" fillId="0" borderId="3" xfId="0" applyFont="1" applyFill="1" applyBorder="1" applyAlignment="1">
      <alignment horizontal="center" vertical="center"/>
    </xf>
    <xf numFmtId="4" fontId="5" fillId="0" borderId="1" xfId="0" applyNumberFormat="1" applyFont="1" applyFill="1" applyBorder="1" applyAlignment="1">
      <alignment horizontal="center"/>
    </xf>
    <xf numFmtId="0" fontId="2" fillId="0" borderId="0" xfId="0" applyFont="1" applyFill="1"/>
    <xf numFmtId="0" fontId="2" fillId="0" borderId="0" xfId="0" applyFont="1" applyFill="1" applyAlignment="1">
      <alignment vertical="center"/>
    </xf>
    <xf numFmtId="0" fontId="2" fillId="0" borderId="0" xfId="0" applyFont="1" applyFill="1" applyAlignment="1">
      <alignment horizontal="center"/>
    </xf>
    <xf numFmtId="0" fontId="1" fillId="0" borderId="0" xfId="0" applyFont="1" applyFill="1" applyAlignment="1">
      <alignment wrapText="1"/>
    </xf>
    <xf numFmtId="2" fontId="5" fillId="0" borderId="1" xfId="0" applyNumberFormat="1" applyFont="1" applyFill="1" applyBorder="1"/>
    <xf numFmtId="0" fontId="1" fillId="0" borderId="1" xfId="0" applyFont="1" applyFill="1" applyBorder="1"/>
    <xf numFmtId="4" fontId="5" fillId="0" borderId="1" xfId="0" applyNumberFormat="1" applyFont="1" applyFill="1" applyBorder="1"/>
    <xf numFmtId="0" fontId="2" fillId="0" borderId="1" xfId="0" applyFont="1" applyFill="1" applyBorder="1"/>
    <xf numFmtId="0" fontId="2" fillId="0" borderId="1" xfId="0" applyFont="1" applyFill="1" applyBorder="1" applyAlignment="1">
      <alignment horizontal="center"/>
    </xf>
    <xf numFmtId="4" fontId="2" fillId="0" borderId="1" xfId="0" applyNumberFormat="1" applyFont="1" applyFill="1" applyBorder="1"/>
    <xf numFmtId="0" fontId="5" fillId="0" borderId="1" xfId="0" applyFont="1" applyBorder="1" applyAlignment="1">
      <alignment horizontal="center" vertical="center" wrapText="1"/>
    </xf>
    <xf numFmtId="0" fontId="2" fillId="0" borderId="0" xfId="0" applyFont="1" applyFill="1" applyAlignment="1">
      <alignment horizontal="left" vertical="top" wrapText="1"/>
    </xf>
    <xf numFmtId="0" fontId="8" fillId="0" borderId="5" xfId="0" applyFont="1" applyBorder="1" applyAlignment="1">
      <alignment horizontal="center" wrapText="1"/>
    </xf>
    <xf numFmtId="0" fontId="8" fillId="0" borderId="6" xfId="0" applyFont="1" applyBorder="1" applyAlignment="1">
      <alignment horizontal="center" wrapText="1"/>
    </xf>
    <xf numFmtId="0" fontId="8" fillId="0" borderId="7" xfId="0" applyFont="1" applyBorder="1" applyAlignment="1">
      <alignment horizont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2" xfId="0" applyFont="1" applyBorder="1" applyAlignment="1">
      <alignment horizontal="center" vertical="top"/>
    </xf>
    <xf numFmtId="0" fontId="8" fillId="0" borderId="3" xfId="0" applyFont="1" applyBorder="1" applyAlignment="1">
      <alignment horizontal="center" vertical="top"/>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 xfId="0" applyFont="1" applyBorder="1" applyAlignment="1">
      <alignment horizontal="center" vertical="top" wrapText="1"/>
    </xf>
    <xf numFmtId="0" fontId="8" fillId="0" borderId="3" xfId="0" applyFont="1" applyBorder="1" applyAlignment="1">
      <alignment horizontal="center" vertical="top" wrapText="1"/>
    </xf>
    <xf numFmtId="0" fontId="8" fillId="0" borderId="5" xfId="0" applyFont="1" applyBorder="1" applyAlignment="1">
      <alignment horizontal="center" vertical="top"/>
    </xf>
    <xf numFmtId="0" fontId="8" fillId="0" borderId="6" xfId="0" applyFont="1" applyBorder="1" applyAlignment="1">
      <alignment horizontal="center" vertical="top"/>
    </xf>
    <xf numFmtId="0" fontId="8" fillId="0" borderId="7" xfId="0" applyFont="1" applyBorder="1" applyAlignment="1">
      <alignment horizontal="center" vertical="top"/>
    </xf>
    <xf numFmtId="0" fontId="8" fillId="0" borderId="5"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5" xfId="0" applyFont="1" applyBorder="1" applyAlignment="1">
      <alignment horizontal="center" vertical="center"/>
    </xf>
    <xf numFmtId="0" fontId="5" fillId="0" borderId="5" xfId="0" applyFont="1" applyBorder="1" applyAlignment="1">
      <alignment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8" fillId="0" borderId="5" xfId="0" applyFont="1" applyBorder="1" applyAlignment="1">
      <alignment horizontal="center"/>
    </xf>
    <xf numFmtId="0" fontId="8" fillId="0" borderId="6" xfId="0" applyFont="1" applyBorder="1" applyAlignment="1">
      <alignment horizontal="center"/>
    </xf>
    <xf numFmtId="0" fontId="8" fillId="0" borderId="7" xfId="0" applyFont="1" applyBorder="1" applyAlignment="1">
      <alignment horizontal="center"/>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5" fillId="0" borderId="1" xfId="0" applyFont="1" applyBorder="1" applyAlignment="1">
      <alignment horizontal="left" vertical="center" wrapText="1"/>
    </xf>
    <xf numFmtId="0" fontId="5" fillId="0" borderId="1" xfId="0" applyFont="1" applyBorder="1" applyAlignment="1">
      <alignment horizontal="lef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1" xfId="0" applyFont="1" applyFill="1" applyBorder="1" applyAlignment="1">
      <alignment vertical="center" wrapText="1"/>
    </xf>
    <xf numFmtId="0" fontId="5" fillId="0" borderId="1" xfId="0" applyFont="1" applyFill="1" applyBorder="1" applyAlignment="1">
      <alignment vertical="center"/>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5" xfId="0" applyFont="1" applyFill="1" applyBorder="1" applyAlignment="1">
      <alignment vertical="center" wrapText="1"/>
    </xf>
    <xf numFmtId="0" fontId="5" fillId="0" borderId="6" xfId="0" applyFont="1" applyFill="1" applyBorder="1" applyAlignment="1">
      <alignment vertical="center" wrapText="1"/>
    </xf>
    <xf numFmtId="0" fontId="5" fillId="0" borderId="7" xfId="0" applyFont="1" applyFill="1" applyBorder="1" applyAlignment="1">
      <alignment vertical="center" wrapText="1"/>
    </xf>
    <xf numFmtId="0" fontId="5" fillId="0" borderId="1" xfId="0" applyFont="1" applyBorder="1" applyAlignment="1">
      <alignment vertical="center" wrapText="1"/>
    </xf>
    <xf numFmtId="0" fontId="5" fillId="0" borderId="1" xfId="0" applyFont="1" applyBorder="1" applyAlignment="1">
      <alignment vertical="center"/>
    </xf>
    <xf numFmtId="0" fontId="5" fillId="0" borderId="4" xfId="0" applyFont="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8" fillId="0" borderId="0"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5" xfId="0" applyFont="1" applyBorder="1" applyAlignment="1">
      <alignment horizontal="center"/>
    </xf>
    <xf numFmtId="0" fontId="5" fillId="0" borderId="6" xfId="0" applyFont="1" applyBorder="1" applyAlignment="1">
      <alignment horizontal="center"/>
    </xf>
    <xf numFmtId="0" fontId="5" fillId="0" borderId="7" xfId="0" applyFont="1" applyBorder="1" applyAlignment="1">
      <alignment horizontal="center"/>
    </xf>
    <xf numFmtId="0" fontId="2"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1" fillId="0" borderId="1"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center" vertical="center"/>
    </xf>
    <xf numFmtId="0" fontId="8" fillId="0" borderId="12"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4" xfId="0" applyFont="1" applyBorder="1" applyAlignment="1">
      <alignment horizontal="center" vertical="center"/>
    </xf>
    <xf numFmtId="0" fontId="8" fillId="0" borderId="3" xfId="0" applyFont="1" applyBorder="1" applyAlignment="1">
      <alignment horizontal="center" vertical="center"/>
    </xf>
    <xf numFmtId="0" fontId="2" fillId="0" borderId="0" xfId="0" applyFont="1" applyAlignment="1">
      <alignment horizontal="left" vertical="top" wrapText="1"/>
    </xf>
    <xf numFmtId="0" fontId="8" fillId="0" borderId="1" xfId="0" applyFont="1" applyBorder="1" applyAlignment="1">
      <alignment horizontal="center" wrapText="1"/>
    </xf>
    <xf numFmtId="0" fontId="8" fillId="0" borderId="1" xfId="0" applyFont="1" applyBorder="1" applyAlignment="1">
      <alignment horizontal="center"/>
    </xf>
    <xf numFmtId="0" fontId="8" fillId="0" borderId="1" xfId="0" applyFont="1" applyBorder="1" applyAlignment="1">
      <alignment horizontal="center" vertical="top"/>
    </xf>
    <xf numFmtId="0" fontId="8" fillId="0" borderId="1" xfId="0" applyFont="1" applyBorder="1" applyAlignment="1">
      <alignment horizontal="center" vertical="top" wrapText="1"/>
    </xf>
    <xf numFmtId="0" fontId="8" fillId="0" borderId="5" xfId="0" applyFont="1" applyBorder="1" applyAlignment="1">
      <alignment horizontal="center" vertical="center"/>
    </xf>
    <xf numFmtId="0" fontId="3" fillId="0" borderId="5"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4" fontId="5" fillId="0" borderId="1" xfId="0" applyNumberFormat="1" applyFont="1" applyBorder="1" applyAlignment="1">
      <alignment horizontal="center" wrapText="1"/>
    </xf>
    <xf numFmtId="4" fontId="5" fillId="0" borderId="0" xfId="0" applyNumberFormat="1" applyFont="1"/>
    <xf numFmtId="4" fontId="5" fillId="0" borderId="1" xfId="0" applyNumberFormat="1" applyFont="1" applyBorder="1" applyAlignment="1"/>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86"/>
  <sheetViews>
    <sheetView workbookViewId="0">
      <selection activeCell="N101" sqref="N101"/>
    </sheetView>
  </sheetViews>
  <sheetFormatPr defaultRowHeight="15" x14ac:dyDescent="0.25"/>
  <cols>
    <col min="5" max="5" width="9.7109375" customWidth="1"/>
    <col min="7" max="7" width="12.5703125" style="74" customWidth="1"/>
    <col min="8" max="8" width="13.28515625" style="74" customWidth="1"/>
    <col min="9" max="9" width="12.28515625" style="74" customWidth="1"/>
    <col min="11" max="11" width="29.42578125" customWidth="1"/>
    <col min="12" max="12" width="10" bestFit="1" customWidth="1"/>
  </cols>
  <sheetData>
    <row r="1" spans="1:12" s="85" customFormat="1" ht="65.25" customHeight="1" x14ac:dyDescent="0.25">
      <c r="A1" s="89"/>
      <c r="B1" s="90"/>
      <c r="C1" s="90"/>
      <c r="D1" s="90"/>
      <c r="E1" s="90"/>
      <c r="F1" s="91"/>
      <c r="G1" s="91"/>
      <c r="H1" s="91"/>
      <c r="I1" s="91"/>
      <c r="J1" s="100" t="s">
        <v>114</v>
      </c>
      <c r="K1" s="100"/>
      <c r="L1" s="92"/>
    </row>
    <row r="2" spans="1:12" s="1" customFormat="1" x14ac:dyDescent="0.25">
      <c r="A2" s="11"/>
      <c r="B2" s="30"/>
      <c r="C2" s="30"/>
      <c r="D2" s="30"/>
      <c r="E2" s="30"/>
      <c r="F2" s="47"/>
      <c r="G2" s="47"/>
      <c r="H2" s="47"/>
      <c r="I2" s="47"/>
      <c r="J2" s="11"/>
      <c r="K2" s="11" t="s">
        <v>115</v>
      </c>
    </row>
    <row r="3" spans="1:12" s="1" customFormat="1" ht="30.75" customHeight="1" x14ac:dyDescent="0.25">
      <c r="A3" s="101" t="s">
        <v>104</v>
      </c>
      <c r="B3" s="102"/>
      <c r="C3" s="102"/>
      <c r="D3" s="102"/>
      <c r="E3" s="102"/>
      <c r="F3" s="102"/>
      <c r="G3" s="102"/>
      <c r="H3" s="102"/>
      <c r="I3" s="102"/>
      <c r="J3" s="103"/>
      <c r="K3" s="104" t="s">
        <v>7</v>
      </c>
      <c r="L3" s="14"/>
    </row>
    <row r="4" spans="1:12" s="1" customFormat="1" ht="52.5" customHeight="1" x14ac:dyDescent="0.25">
      <c r="A4" s="107" t="s">
        <v>0</v>
      </c>
      <c r="B4" s="109" t="s">
        <v>1</v>
      </c>
      <c r="C4" s="110"/>
      <c r="D4" s="110"/>
      <c r="E4" s="111"/>
      <c r="F4" s="115" t="s">
        <v>12</v>
      </c>
      <c r="G4" s="117" t="s">
        <v>5</v>
      </c>
      <c r="H4" s="118"/>
      <c r="I4" s="118"/>
      <c r="J4" s="119"/>
      <c r="K4" s="105"/>
      <c r="L4" s="14"/>
    </row>
    <row r="5" spans="1:12" s="1" customFormat="1" ht="21" customHeight="1" x14ac:dyDescent="0.25">
      <c r="A5" s="108"/>
      <c r="B5" s="112"/>
      <c r="C5" s="113"/>
      <c r="D5" s="113"/>
      <c r="E5" s="114"/>
      <c r="F5" s="116"/>
      <c r="G5" s="38" t="s">
        <v>2</v>
      </c>
      <c r="H5" s="78" t="s">
        <v>105</v>
      </c>
      <c r="I5" s="78" t="s">
        <v>106</v>
      </c>
      <c r="J5" s="16" t="s">
        <v>6</v>
      </c>
      <c r="K5" s="106"/>
      <c r="L5" s="14"/>
    </row>
    <row r="6" spans="1:12" s="1" customFormat="1" ht="26.25" customHeight="1" x14ac:dyDescent="0.25">
      <c r="A6" s="140" t="s">
        <v>8</v>
      </c>
      <c r="B6" s="141"/>
      <c r="C6" s="141"/>
      <c r="D6" s="141"/>
      <c r="E6" s="141"/>
      <c r="F6" s="141"/>
      <c r="G6" s="141"/>
      <c r="H6" s="141"/>
      <c r="I6" s="141"/>
      <c r="J6" s="141"/>
      <c r="K6" s="142"/>
      <c r="L6" s="14"/>
    </row>
    <row r="7" spans="1:12" s="1" customFormat="1" ht="35.25" customHeight="1" x14ac:dyDescent="0.25">
      <c r="A7" s="17" t="s">
        <v>9</v>
      </c>
      <c r="B7" s="143" t="s">
        <v>25</v>
      </c>
      <c r="C7" s="144"/>
      <c r="D7" s="144"/>
      <c r="E7" s="144"/>
      <c r="F7" s="19"/>
      <c r="G7" s="38"/>
      <c r="H7" s="38"/>
      <c r="I7" s="38"/>
      <c r="J7" s="16"/>
      <c r="K7" s="18"/>
      <c r="L7" s="14"/>
    </row>
    <row r="8" spans="1:12" s="1" customFormat="1" ht="26.25" customHeight="1" x14ac:dyDescent="0.25">
      <c r="A8" s="17"/>
      <c r="B8" s="145" t="s">
        <v>10</v>
      </c>
      <c r="C8" s="146"/>
      <c r="D8" s="146"/>
      <c r="E8" s="146"/>
      <c r="F8" s="19">
        <v>2014</v>
      </c>
      <c r="G8" s="22">
        <f>H8+I8+J8</f>
        <v>1150430</v>
      </c>
      <c r="H8" s="22">
        <v>1127420</v>
      </c>
      <c r="I8" s="22">
        <v>23010</v>
      </c>
      <c r="J8" s="19">
        <v>0</v>
      </c>
      <c r="K8" s="20" t="s">
        <v>84</v>
      </c>
      <c r="L8" s="14"/>
    </row>
    <row r="9" spans="1:12" s="1" customFormat="1" ht="26.25" customHeight="1" x14ac:dyDescent="0.25">
      <c r="A9" s="17"/>
      <c r="B9" s="145" t="s">
        <v>11</v>
      </c>
      <c r="C9" s="146"/>
      <c r="D9" s="146"/>
      <c r="E9" s="146"/>
      <c r="F9" s="19">
        <v>2015</v>
      </c>
      <c r="G9" s="22">
        <f t="shared" ref="G9:G70" si="0">H9+I9+J9</f>
        <v>192336.8</v>
      </c>
      <c r="H9" s="22">
        <v>189470</v>
      </c>
      <c r="I9" s="22">
        <v>2866.8</v>
      </c>
      <c r="J9" s="19">
        <v>0</v>
      </c>
      <c r="K9" s="20" t="s">
        <v>84</v>
      </c>
      <c r="L9" s="223"/>
    </row>
    <row r="10" spans="1:12" s="1" customFormat="1" ht="26.25" customHeight="1" x14ac:dyDescent="0.25">
      <c r="A10" s="17"/>
      <c r="B10" s="145" t="s">
        <v>13</v>
      </c>
      <c r="C10" s="146"/>
      <c r="D10" s="146"/>
      <c r="E10" s="146"/>
      <c r="F10" s="19">
        <v>2016</v>
      </c>
      <c r="G10" s="22">
        <f>H10+I10+J10</f>
        <v>507000</v>
      </c>
      <c r="H10" s="22">
        <v>98960</v>
      </c>
      <c r="I10" s="22">
        <v>408040</v>
      </c>
      <c r="J10" s="19">
        <v>0</v>
      </c>
      <c r="K10" s="20" t="s">
        <v>84</v>
      </c>
      <c r="L10" s="223"/>
    </row>
    <row r="11" spans="1:12" s="1" customFormat="1" ht="26.25" customHeight="1" x14ac:dyDescent="0.25">
      <c r="A11" s="17"/>
      <c r="B11" s="145" t="s">
        <v>14</v>
      </c>
      <c r="C11" s="146"/>
      <c r="D11" s="146"/>
      <c r="E11" s="146"/>
      <c r="F11" s="19">
        <v>2017</v>
      </c>
      <c r="G11" s="22">
        <f t="shared" si="0"/>
        <v>1238920</v>
      </c>
      <c r="H11" s="22">
        <v>675190</v>
      </c>
      <c r="I11" s="22">
        <v>563730</v>
      </c>
      <c r="J11" s="19">
        <v>0</v>
      </c>
      <c r="K11" s="20" t="s">
        <v>84</v>
      </c>
      <c r="L11" s="223"/>
    </row>
    <row r="12" spans="1:12" s="1" customFormat="1" ht="26.25" customHeight="1" x14ac:dyDescent="0.25">
      <c r="A12" s="17"/>
      <c r="B12" s="145" t="s">
        <v>14</v>
      </c>
      <c r="C12" s="146"/>
      <c r="D12" s="146"/>
      <c r="E12" s="146"/>
      <c r="F12" s="147">
        <v>2018</v>
      </c>
      <c r="G12" s="22">
        <f t="shared" si="0"/>
        <v>687836</v>
      </c>
      <c r="H12" s="22">
        <v>674080</v>
      </c>
      <c r="I12" s="22">
        <v>13756</v>
      </c>
      <c r="J12" s="19">
        <v>0</v>
      </c>
      <c r="K12" s="20" t="s">
        <v>84</v>
      </c>
      <c r="L12" s="223"/>
    </row>
    <row r="13" spans="1:12" s="1" customFormat="1" ht="26.25" customHeight="1" x14ac:dyDescent="0.25">
      <c r="A13" s="17"/>
      <c r="B13" s="137" t="s">
        <v>15</v>
      </c>
      <c r="C13" s="138"/>
      <c r="D13" s="138"/>
      <c r="E13" s="139"/>
      <c r="F13" s="148"/>
      <c r="G13" s="22">
        <f t="shared" si="0"/>
        <v>1200000</v>
      </c>
      <c r="H13" s="22">
        <v>0</v>
      </c>
      <c r="I13" s="22">
        <v>1200000</v>
      </c>
      <c r="J13" s="19">
        <v>0</v>
      </c>
      <c r="K13" s="20" t="s">
        <v>84</v>
      </c>
      <c r="L13" s="223"/>
    </row>
    <row r="14" spans="1:12" s="1" customFormat="1" ht="26.25" customHeight="1" x14ac:dyDescent="0.25">
      <c r="A14" s="17"/>
      <c r="B14" s="145" t="s">
        <v>17</v>
      </c>
      <c r="C14" s="146"/>
      <c r="D14" s="146"/>
      <c r="E14" s="146"/>
      <c r="F14" s="19">
        <v>2019</v>
      </c>
      <c r="G14" s="22">
        <f t="shared" si="0"/>
        <v>897750.86</v>
      </c>
      <c r="H14" s="22">
        <v>442804</v>
      </c>
      <c r="I14" s="22">
        <f>9037.55+445909.31</f>
        <v>454946.86</v>
      </c>
      <c r="J14" s="19">
        <v>0</v>
      </c>
      <c r="K14" s="20" t="s">
        <v>84</v>
      </c>
      <c r="L14" s="223"/>
    </row>
    <row r="15" spans="1:12" s="85" customFormat="1" ht="26.25" customHeight="1" x14ac:dyDescent="0.25">
      <c r="A15" s="86"/>
      <c r="B15" s="149" t="s">
        <v>18</v>
      </c>
      <c r="C15" s="150"/>
      <c r="D15" s="150"/>
      <c r="E15" s="150"/>
      <c r="F15" s="151">
        <v>2020</v>
      </c>
      <c r="G15" s="88">
        <f t="shared" si="0"/>
        <v>0</v>
      </c>
      <c r="H15" s="88">
        <v>0</v>
      </c>
      <c r="I15" s="88">
        <v>0</v>
      </c>
      <c r="J15" s="82">
        <v>0</v>
      </c>
      <c r="K15" s="83" t="s">
        <v>84</v>
      </c>
      <c r="L15" s="223"/>
    </row>
    <row r="16" spans="1:12" s="85" customFormat="1" ht="26.25" customHeight="1" x14ac:dyDescent="0.25">
      <c r="A16" s="86"/>
      <c r="B16" s="154" t="s">
        <v>19</v>
      </c>
      <c r="C16" s="155"/>
      <c r="D16" s="155"/>
      <c r="E16" s="156"/>
      <c r="F16" s="152"/>
      <c r="G16" s="88">
        <f t="shared" si="0"/>
        <v>0</v>
      </c>
      <c r="H16" s="88">
        <v>0</v>
      </c>
      <c r="I16" s="88">
        <v>0</v>
      </c>
      <c r="J16" s="82">
        <v>0</v>
      </c>
      <c r="K16" s="83" t="s">
        <v>84</v>
      </c>
      <c r="L16" s="223"/>
    </row>
    <row r="17" spans="1:12" s="85" customFormat="1" ht="26.25" customHeight="1" x14ac:dyDescent="0.25">
      <c r="A17" s="86"/>
      <c r="B17" s="154" t="s">
        <v>20</v>
      </c>
      <c r="C17" s="155"/>
      <c r="D17" s="155"/>
      <c r="E17" s="156"/>
      <c r="F17" s="152"/>
      <c r="G17" s="88">
        <f t="shared" si="0"/>
        <v>0</v>
      </c>
      <c r="H17" s="88">
        <v>0</v>
      </c>
      <c r="I17" s="88">
        <v>0</v>
      </c>
      <c r="J17" s="82">
        <v>0</v>
      </c>
      <c r="K17" s="83" t="s">
        <v>84</v>
      </c>
      <c r="L17" s="223"/>
    </row>
    <row r="18" spans="1:12" s="85" customFormat="1" ht="26.25" customHeight="1" x14ac:dyDescent="0.25">
      <c r="A18" s="86"/>
      <c r="B18" s="154" t="s">
        <v>21</v>
      </c>
      <c r="C18" s="155"/>
      <c r="D18" s="155"/>
      <c r="E18" s="156"/>
      <c r="F18" s="153"/>
      <c r="G18" s="88">
        <f t="shared" si="0"/>
        <v>281397.96000000002</v>
      </c>
      <c r="H18" s="88">
        <v>275770</v>
      </c>
      <c r="I18" s="88">
        <v>5627.96</v>
      </c>
      <c r="J18" s="82">
        <v>0</v>
      </c>
      <c r="K18" s="83" t="s">
        <v>84</v>
      </c>
      <c r="L18" s="223"/>
    </row>
    <row r="19" spans="1:12" s="1" customFormat="1" ht="26.25" customHeight="1" x14ac:dyDescent="0.25">
      <c r="A19" s="17"/>
      <c r="B19" s="157" t="s">
        <v>22</v>
      </c>
      <c r="C19" s="158"/>
      <c r="D19" s="158"/>
      <c r="E19" s="158"/>
      <c r="F19" s="147">
        <v>2021</v>
      </c>
      <c r="G19" s="22">
        <f t="shared" si="0"/>
        <v>0</v>
      </c>
      <c r="H19" s="22">
        <v>0</v>
      </c>
      <c r="I19" s="22">
        <v>0</v>
      </c>
      <c r="J19" s="19">
        <v>0</v>
      </c>
      <c r="K19" s="20" t="s">
        <v>84</v>
      </c>
      <c r="L19" s="223"/>
    </row>
    <row r="20" spans="1:12" s="1" customFormat="1" ht="26.25" customHeight="1" x14ac:dyDescent="0.25">
      <c r="A20" s="17"/>
      <c r="B20" s="134" t="s">
        <v>19</v>
      </c>
      <c r="C20" s="135"/>
      <c r="D20" s="135"/>
      <c r="E20" s="136"/>
      <c r="F20" s="159"/>
      <c r="G20" s="22">
        <f t="shared" si="0"/>
        <v>0</v>
      </c>
      <c r="H20" s="22">
        <v>0</v>
      </c>
      <c r="I20" s="22">
        <v>0</v>
      </c>
      <c r="J20" s="19">
        <v>0</v>
      </c>
      <c r="K20" s="20" t="s">
        <v>84</v>
      </c>
      <c r="L20" s="223"/>
    </row>
    <row r="21" spans="1:12" s="1" customFormat="1" ht="26.25" customHeight="1" x14ac:dyDescent="0.25">
      <c r="A21" s="17"/>
      <c r="B21" s="134" t="s">
        <v>20</v>
      </c>
      <c r="C21" s="135"/>
      <c r="D21" s="135"/>
      <c r="E21" s="136"/>
      <c r="F21" s="159"/>
      <c r="G21" s="22">
        <f t="shared" si="0"/>
        <v>0</v>
      </c>
      <c r="H21" s="22">
        <v>0</v>
      </c>
      <c r="I21" s="22">
        <v>0</v>
      </c>
      <c r="J21" s="19">
        <v>0</v>
      </c>
      <c r="K21" s="20" t="s">
        <v>84</v>
      </c>
      <c r="L21" s="223"/>
    </row>
    <row r="22" spans="1:12" s="1" customFormat="1" ht="36" customHeight="1" x14ac:dyDescent="0.25">
      <c r="A22" s="17"/>
      <c r="B22" s="134" t="s">
        <v>21</v>
      </c>
      <c r="C22" s="135"/>
      <c r="D22" s="135"/>
      <c r="E22" s="136"/>
      <c r="F22" s="159"/>
      <c r="G22" s="22">
        <f>H22+I22</f>
        <v>627143</v>
      </c>
      <c r="H22" s="22">
        <v>614600</v>
      </c>
      <c r="I22" s="22">
        <v>12543</v>
      </c>
      <c r="J22" s="19">
        <v>0</v>
      </c>
      <c r="K22" s="20" t="s">
        <v>84</v>
      </c>
      <c r="L22" s="223"/>
    </row>
    <row r="23" spans="1:12" s="1" customFormat="1" ht="36" customHeight="1" x14ac:dyDescent="0.25">
      <c r="A23" s="17"/>
      <c r="B23" s="137" t="s">
        <v>112</v>
      </c>
      <c r="C23" s="138"/>
      <c r="D23" s="138"/>
      <c r="E23" s="139"/>
      <c r="F23" s="148"/>
      <c r="G23" s="22">
        <f>H23+I23+J23</f>
        <v>290000</v>
      </c>
      <c r="H23" s="22">
        <v>0</v>
      </c>
      <c r="I23" s="22">
        <v>290000</v>
      </c>
      <c r="J23" s="19">
        <v>0</v>
      </c>
      <c r="K23" s="99"/>
      <c r="L23" s="223"/>
    </row>
    <row r="24" spans="1:12" s="1" customFormat="1" ht="26.25" customHeight="1" x14ac:dyDescent="0.25">
      <c r="A24" s="17"/>
      <c r="B24" s="157" t="s">
        <v>22</v>
      </c>
      <c r="C24" s="158"/>
      <c r="D24" s="158"/>
      <c r="E24" s="158"/>
      <c r="F24" s="147">
        <v>2022</v>
      </c>
      <c r="G24" s="22">
        <f t="shared" si="0"/>
        <v>5000000</v>
      </c>
      <c r="H24" s="22">
        <v>0</v>
      </c>
      <c r="I24" s="22">
        <v>5000000</v>
      </c>
      <c r="J24" s="19">
        <v>0</v>
      </c>
      <c r="K24" s="20" t="s">
        <v>84</v>
      </c>
      <c r="L24" s="223"/>
    </row>
    <row r="25" spans="1:12" s="1" customFormat="1" ht="26.25" customHeight="1" x14ac:dyDescent="0.25">
      <c r="A25" s="17"/>
      <c r="B25" s="134" t="s">
        <v>111</v>
      </c>
      <c r="C25" s="135"/>
      <c r="D25" s="135"/>
      <c r="E25" s="136"/>
      <c r="F25" s="159"/>
      <c r="G25" s="22">
        <f t="shared" si="0"/>
        <v>501735</v>
      </c>
      <c r="H25" s="22">
        <v>491700</v>
      </c>
      <c r="I25" s="22">
        <v>10035</v>
      </c>
      <c r="J25" s="19">
        <v>0</v>
      </c>
      <c r="K25" s="20" t="s">
        <v>84</v>
      </c>
      <c r="L25" s="223"/>
    </row>
    <row r="26" spans="1:12" s="1" customFormat="1" ht="26.25" customHeight="1" x14ac:dyDescent="0.25">
      <c r="A26" s="17"/>
      <c r="B26" s="134" t="s">
        <v>19</v>
      </c>
      <c r="C26" s="135"/>
      <c r="D26" s="135"/>
      <c r="E26" s="136"/>
      <c r="F26" s="159"/>
      <c r="G26" s="22">
        <f t="shared" si="0"/>
        <v>0</v>
      </c>
      <c r="H26" s="22">
        <v>0</v>
      </c>
      <c r="I26" s="22">
        <v>0</v>
      </c>
      <c r="J26" s="19">
        <v>0</v>
      </c>
      <c r="K26" s="20" t="s">
        <v>84</v>
      </c>
      <c r="L26" s="223"/>
    </row>
    <row r="27" spans="1:12" s="1" customFormat="1" ht="26.25" customHeight="1" x14ac:dyDescent="0.25">
      <c r="A27" s="17"/>
      <c r="B27" s="134" t="s">
        <v>20</v>
      </c>
      <c r="C27" s="135"/>
      <c r="D27" s="135"/>
      <c r="E27" s="136"/>
      <c r="F27" s="148"/>
      <c r="G27" s="22">
        <f t="shared" si="0"/>
        <v>0</v>
      </c>
      <c r="H27" s="22">
        <v>0</v>
      </c>
      <c r="I27" s="22">
        <v>0</v>
      </c>
      <c r="J27" s="19">
        <v>0</v>
      </c>
      <c r="K27" s="20" t="s">
        <v>84</v>
      </c>
      <c r="L27" s="223"/>
    </row>
    <row r="28" spans="1:12" s="1" customFormat="1" ht="26.25" customHeight="1" x14ac:dyDescent="0.25">
      <c r="A28" s="17"/>
      <c r="B28" s="123" t="s">
        <v>23</v>
      </c>
      <c r="C28" s="124"/>
      <c r="D28" s="124"/>
      <c r="E28" s="125"/>
      <c r="F28" s="37">
        <v>2023</v>
      </c>
      <c r="G28" s="22">
        <v>5000</v>
      </c>
      <c r="H28" s="22">
        <v>0</v>
      </c>
      <c r="I28" s="22">
        <v>5000000</v>
      </c>
      <c r="J28" s="19">
        <v>0</v>
      </c>
      <c r="K28" s="20" t="s">
        <v>84</v>
      </c>
      <c r="L28" s="223"/>
    </row>
    <row r="29" spans="1:12" s="1" customFormat="1" ht="26.25" customHeight="1" x14ac:dyDescent="0.25">
      <c r="A29" s="17"/>
      <c r="B29" s="123" t="s">
        <v>111</v>
      </c>
      <c r="C29" s="124"/>
      <c r="D29" s="124"/>
      <c r="E29" s="125"/>
      <c r="F29" s="79"/>
      <c r="G29" s="22">
        <f>H29+I29</f>
        <v>501735</v>
      </c>
      <c r="H29" s="22">
        <v>491700</v>
      </c>
      <c r="I29" s="22">
        <v>10035</v>
      </c>
      <c r="J29" s="19"/>
      <c r="K29" s="80"/>
      <c r="L29" s="223"/>
    </row>
    <row r="30" spans="1:12" s="1" customFormat="1" ht="26.25" customHeight="1" x14ac:dyDescent="0.25">
      <c r="A30" s="17"/>
      <c r="B30" s="123"/>
      <c r="C30" s="124"/>
      <c r="D30" s="124"/>
      <c r="E30" s="125"/>
      <c r="F30" s="37">
        <v>2024</v>
      </c>
      <c r="G30" s="22">
        <f>H30+I30+J30</f>
        <v>0</v>
      </c>
      <c r="H30" s="22">
        <v>0</v>
      </c>
      <c r="I30" s="22">
        <v>0</v>
      </c>
      <c r="J30" s="19">
        <v>0</v>
      </c>
      <c r="K30" s="20" t="s">
        <v>84</v>
      </c>
      <c r="L30" s="223"/>
    </row>
    <row r="31" spans="1:12" s="1" customFormat="1" ht="26.25" customHeight="1" x14ac:dyDescent="0.25">
      <c r="A31" s="17"/>
      <c r="B31" s="123"/>
      <c r="C31" s="124"/>
      <c r="D31" s="124"/>
      <c r="E31" s="125"/>
      <c r="F31" s="37">
        <v>2025</v>
      </c>
      <c r="G31" s="22">
        <f>H31+I31+J31</f>
        <v>0</v>
      </c>
      <c r="H31" s="22">
        <v>0</v>
      </c>
      <c r="I31" s="22">
        <v>0</v>
      </c>
      <c r="J31" s="19">
        <v>0</v>
      </c>
      <c r="K31" s="20" t="s">
        <v>84</v>
      </c>
      <c r="L31" s="223"/>
    </row>
    <row r="32" spans="1:12" s="1" customFormat="1" ht="52.5" customHeight="1" x14ac:dyDescent="0.25">
      <c r="A32" s="17" t="s">
        <v>24</v>
      </c>
      <c r="B32" s="120" t="s">
        <v>26</v>
      </c>
      <c r="C32" s="128"/>
      <c r="D32" s="128"/>
      <c r="E32" s="129"/>
      <c r="F32" s="37"/>
      <c r="G32" s="22"/>
      <c r="H32" s="22"/>
      <c r="I32" s="22"/>
      <c r="J32" s="19"/>
      <c r="K32" s="20" t="s">
        <v>84</v>
      </c>
      <c r="L32" s="223"/>
    </row>
    <row r="33" spans="1:12" s="1" customFormat="1" ht="26.25" customHeight="1" x14ac:dyDescent="0.25">
      <c r="A33" s="17"/>
      <c r="B33" s="123"/>
      <c r="C33" s="124"/>
      <c r="D33" s="124"/>
      <c r="E33" s="125"/>
      <c r="F33" s="37">
        <v>2014</v>
      </c>
      <c r="G33" s="22">
        <f t="shared" si="0"/>
        <v>0</v>
      </c>
      <c r="H33" s="22">
        <v>0</v>
      </c>
      <c r="I33" s="22">
        <v>0</v>
      </c>
      <c r="J33" s="19">
        <v>0</v>
      </c>
      <c r="K33" s="20" t="s">
        <v>84</v>
      </c>
      <c r="L33" s="223"/>
    </row>
    <row r="34" spans="1:12" s="1" customFormat="1" ht="26.25" customHeight="1" x14ac:dyDescent="0.25">
      <c r="A34" s="17"/>
      <c r="B34" s="123"/>
      <c r="C34" s="124"/>
      <c r="D34" s="124"/>
      <c r="E34" s="125"/>
      <c r="F34" s="37">
        <v>2015</v>
      </c>
      <c r="G34" s="22">
        <f t="shared" si="0"/>
        <v>0</v>
      </c>
      <c r="H34" s="22">
        <v>0</v>
      </c>
      <c r="I34" s="22">
        <v>0</v>
      </c>
      <c r="J34" s="19">
        <v>0</v>
      </c>
      <c r="K34" s="20" t="s">
        <v>84</v>
      </c>
      <c r="L34" s="223"/>
    </row>
    <row r="35" spans="1:12" s="1" customFormat="1" ht="26.25" customHeight="1" x14ac:dyDescent="0.25">
      <c r="A35" s="17"/>
      <c r="B35" s="123"/>
      <c r="C35" s="124"/>
      <c r="D35" s="124"/>
      <c r="E35" s="125"/>
      <c r="F35" s="37">
        <v>2016</v>
      </c>
      <c r="G35" s="22">
        <f t="shared" si="0"/>
        <v>1200000</v>
      </c>
      <c r="H35" s="22">
        <v>0</v>
      </c>
      <c r="I35" s="22">
        <v>1200000</v>
      </c>
      <c r="J35" s="19">
        <v>0</v>
      </c>
      <c r="K35" s="20" t="s">
        <v>84</v>
      </c>
      <c r="L35" s="223"/>
    </row>
    <row r="36" spans="1:12" s="1" customFormat="1" ht="26.25" customHeight="1" x14ac:dyDescent="0.25">
      <c r="A36" s="17"/>
      <c r="B36" s="123"/>
      <c r="C36" s="124"/>
      <c r="D36" s="124"/>
      <c r="E36" s="125"/>
      <c r="F36" s="37">
        <v>2017</v>
      </c>
      <c r="G36" s="22">
        <f t="shared" si="0"/>
        <v>5000000</v>
      </c>
      <c r="H36" s="22">
        <v>0</v>
      </c>
      <c r="I36" s="22">
        <v>5000000</v>
      </c>
      <c r="J36" s="19">
        <v>0</v>
      </c>
      <c r="K36" s="20" t="s">
        <v>84</v>
      </c>
      <c r="L36" s="223"/>
    </row>
    <row r="37" spans="1:12" s="1" customFormat="1" ht="206.25" customHeight="1" x14ac:dyDescent="0.25">
      <c r="A37" s="17"/>
      <c r="B37" s="123" t="s">
        <v>27</v>
      </c>
      <c r="C37" s="124"/>
      <c r="D37" s="124"/>
      <c r="E37" s="125"/>
      <c r="F37" s="37">
        <v>2018</v>
      </c>
      <c r="G37" s="22">
        <f t="shared" si="0"/>
        <v>1262550</v>
      </c>
      <c r="H37" s="22">
        <v>0</v>
      </c>
      <c r="I37" s="222">
        <v>1262550</v>
      </c>
      <c r="J37" s="19">
        <v>0</v>
      </c>
      <c r="K37" s="20" t="s">
        <v>84</v>
      </c>
      <c r="L37" s="223"/>
    </row>
    <row r="38" spans="1:12" s="1" customFormat="1" ht="129.75" customHeight="1" x14ac:dyDescent="0.25">
      <c r="A38" s="17"/>
      <c r="B38" s="123" t="s">
        <v>28</v>
      </c>
      <c r="C38" s="124"/>
      <c r="D38" s="124"/>
      <c r="E38" s="125"/>
      <c r="F38" s="37">
        <v>2019</v>
      </c>
      <c r="G38" s="22">
        <f t="shared" si="0"/>
        <v>1179000</v>
      </c>
      <c r="H38" s="22">
        <v>0</v>
      </c>
      <c r="I38" s="22">
        <v>1179000</v>
      </c>
      <c r="J38" s="19">
        <v>0</v>
      </c>
      <c r="K38" s="20" t="s">
        <v>84</v>
      </c>
      <c r="L38" s="223"/>
    </row>
    <row r="39" spans="1:12" s="85" customFormat="1" ht="26.25" customHeight="1" x14ac:dyDescent="0.25">
      <c r="A39" s="86"/>
      <c r="B39" s="130" t="s">
        <v>98</v>
      </c>
      <c r="C39" s="131"/>
      <c r="D39" s="131"/>
      <c r="E39" s="132"/>
      <c r="F39" s="87">
        <v>2020</v>
      </c>
      <c r="G39" s="88">
        <f t="shared" si="0"/>
        <v>485000</v>
      </c>
      <c r="H39" s="88">
        <v>0</v>
      </c>
      <c r="I39" s="88">
        <v>485000</v>
      </c>
      <c r="J39" s="82">
        <v>0</v>
      </c>
      <c r="K39" s="83" t="s">
        <v>84</v>
      </c>
      <c r="L39" s="223"/>
    </row>
    <row r="40" spans="1:12" s="1" customFormat="1" ht="26.25" customHeight="1" x14ac:dyDescent="0.25">
      <c r="A40" s="17"/>
      <c r="B40" s="123"/>
      <c r="C40" s="124"/>
      <c r="D40" s="124"/>
      <c r="E40" s="125"/>
      <c r="F40" s="37">
        <v>2021</v>
      </c>
      <c r="G40" s="22">
        <f t="shared" si="0"/>
        <v>0</v>
      </c>
      <c r="H40" s="22">
        <v>0</v>
      </c>
      <c r="I40" s="22">
        <v>0</v>
      </c>
      <c r="J40" s="19">
        <v>0</v>
      </c>
      <c r="K40" s="20" t="s">
        <v>84</v>
      </c>
      <c r="L40" s="223"/>
    </row>
    <row r="41" spans="1:12" s="1" customFormat="1" ht="26.25" customHeight="1" x14ac:dyDescent="0.25">
      <c r="A41" s="17"/>
      <c r="B41" s="123"/>
      <c r="C41" s="124"/>
      <c r="D41" s="124"/>
      <c r="E41" s="125"/>
      <c r="F41" s="37">
        <v>2022</v>
      </c>
      <c r="G41" s="22">
        <f t="shared" si="0"/>
        <v>0</v>
      </c>
      <c r="H41" s="22">
        <v>0</v>
      </c>
      <c r="I41" s="22">
        <v>0</v>
      </c>
      <c r="J41" s="19">
        <v>0</v>
      </c>
      <c r="K41" s="20" t="s">
        <v>84</v>
      </c>
      <c r="L41" s="223"/>
    </row>
    <row r="42" spans="1:12" s="1" customFormat="1" ht="26.25" customHeight="1" x14ac:dyDescent="0.25">
      <c r="A42" s="17"/>
      <c r="B42" s="123"/>
      <c r="C42" s="124"/>
      <c r="D42" s="124"/>
      <c r="E42" s="125"/>
      <c r="F42" s="37">
        <v>2023</v>
      </c>
      <c r="G42" s="22">
        <f>H42+I42+J42</f>
        <v>0</v>
      </c>
      <c r="H42" s="22">
        <v>0</v>
      </c>
      <c r="I42" s="22">
        <v>0</v>
      </c>
      <c r="J42" s="19">
        <v>0</v>
      </c>
      <c r="K42" s="20" t="s">
        <v>84</v>
      </c>
      <c r="L42" s="223"/>
    </row>
    <row r="43" spans="1:12" s="1" customFormat="1" ht="26.25" customHeight="1" x14ac:dyDescent="0.25">
      <c r="A43" s="17"/>
      <c r="B43" s="123"/>
      <c r="C43" s="124"/>
      <c r="D43" s="124"/>
      <c r="E43" s="125"/>
      <c r="F43" s="37">
        <v>2024</v>
      </c>
      <c r="G43" s="22">
        <f>H43+I43+J43</f>
        <v>0</v>
      </c>
      <c r="H43" s="22">
        <v>0</v>
      </c>
      <c r="I43" s="22">
        <v>0</v>
      </c>
      <c r="J43" s="19">
        <v>0</v>
      </c>
      <c r="K43" s="20" t="s">
        <v>84</v>
      </c>
      <c r="L43" s="223"/>
    </row>
    <row r="44" spans="1:12" s="1" customFormat="1" ht="26.25" customHeight="1" x14ac:dyDescent="0.25">
      <c r="A44" s="17"/>
      <c r="B44" s="123"/>
      <c r="C44" s="124"/>
      <c r="D44" s="124"/>
      <c r="E44" s="125"/>
      <c r="F44" s="37">
        <v>2025</v>
      </c>
      <c r="G44" s="22">
        <f>H44+I44+J44</f>
        <v>0</v>
      </c>
      <c r="H44" s="22">
        <v>0</v>
      </c>
      <c r="I44" s="22">
        <v>0</v>
      </c>
      <c r="J44" s="19">
        <v>0</v>
      </c>
      <c r="K44" s="20" t="s">
        <v>84</v>
      </c>
      <c r="L44" s="223"/>
    </row>
    <row r="45" spans="1:12" s="1" customFormat="1" ht="26.25" customHeight="1" x14ac:dyDescent="0.25">
      <c r="A45" s="18" t="s">
        <v>29</v>
      </c>
      <c r="B45" s="120" t="s">
        <v>30</v>
      </c>
      <c r="C45" s="121"/>
      <c r="D45" s="121"/>
      <c r="E45" s="122"/>
      <c r="F45" s="19"/>
      <c r="G45" s="22"/>
      <c r="H45" s="22"/>
      <c r="I45" s="22"/>
      <c r="J45" s="19"/>
      <c r="K45" s="20"/>
      <c r="L45" s="223"/>
    </row>
    <row r="46" spans="1:12" s="1" customFormat="1" ht="26.25" customHeight="1" x14ac:dyDescent="0.25">
      <c r="A46" s="18"/>
      <c r="B46" s="120"/>
      <c r="C46" s="128"/>
      <c r="D46" s="128"/>
      <c r="E46" s="129"/>
      <c r="F46" s="19">
        <v>2014</v>
      </c>
      <c r="G46" s="22">
        <f t="shared" si="0"/>
        <v>0</v>
      </c>
      <c r="H46" s="22">
        <v>0</v>
      </c>
      <c r="I46" s="22">
        <v>0</v>
      </c>
      <c r="J46" s="19">
        <v>0</v>
      </c>
      <c r="K46" s="20" t="s">
        <v>84</v>
      </c>
      <c r="L46" s="223"/>
    </row>
    <row r="47" spans="1:12" s="1" customFormat="1" ht="26.25" customHeight="1" x14ac:dyDescent="0.25">
      <c r="A47" s="18"/>
      <c r="B47" s="120"/>
      <c r="C47" s="128"/>
      <c r="D47" s="128"/>
      <c r="E47" s="129"/>
      <c r="F47" s="19">
        <v>2015</v>
      </c>
      <c r="G47" s="22">
        <f t="shared" si="0"/>
        <v>0</v>
      </c>
      <c r="H47" s="22">
        <v>0</v>
      </c>
      <c r="I47" s="22">
        <v>0</v>
      </c>
      <c r="J47" s="19">
        <v>0</v>
      </c>
      <c r="K47" s="20" t="s">
        <v>84</v>
      </c>
      <c r="L47" s="223"/>
    </row>
    <row r="48" spans="1:12" s="1" customFormat="1" ht="26.25" customHeight="1" x14ac:dyDescent="0.25">
      <c r="A48" s="18"/>
      <c r="B48" s="120"/>
      <c r="C48" s="128"/>
      <c r="D48" s="128"/>
      <c r="E48" s="129"/>
      <c r="F48" s="19">
        <v>2016</v>
      </c>
      <c r="G48" s="22">
        <f t="shared" si="0"/>
        <v>0</v>
      </c>
      <c r="H48" s="22">
        <v>0</v>
      </c>
      <c r="I48" s="22">
        <v>0</v>
      </c>
      <c r="J48" s="19">
        <v>0</v>
      </c>
      <c r="K48" s="20" t="s">
        <v>84</v>
      </c>
      <c r="L48" s="223"/>
    </row>
    <row r="49" spans="1:12" s="1" customFormat="1" ht="26.25" customHeight="1" x14ac:dyDescent="0.25">
      <c r="A49" s="18"/>
      <c r="B49" s="120"/>
      <c r="C49" s="128"/>
      <c r="D49" s="128"/>
      <c r="E49" s="129"/>
      <c r="F49" s="19">
        <v>2017</v>
      </c>
      <c r="G49" s="22">
        <f t="shared" si="0"/>
        <v>0</v>
      </c>
      <c r="H49" s="22">
        <v>0</v>
      </c>
      <c r="I49" s="22">
        <v>0</v>
      </c>
      <c r="J49" s="19">
        <v>0</v>
      </c>
      <c r="K49" s="20" t="s">
        <v>84</v>
      </c>
      <c r="L49" s="223"/>
    </row>
    <row r="50" spans="1:12" s="1" customFormat="1" ht="26.25" customHeight="1" x14ac:dyDescent="0.25">
      <c r="A50" s="18"/>
      <c r="B50" s="120"/>
      <c r="C50" s="128"/>
      <c r="D50" s="128"/>
      <c r="E50" s="129"/>
      <c r="F50" s="19">
        <v>2018</v>
      </c>
      <c r="G50" s="22">
        <f t="shared" si="0"/>
        <v>0</v>
      </c>
      <c r="H50" s="22">
        <v>0</v>
      </c>
      <c r="I50" s="22">
        <v>0</v>
      </c>
      <c r="J50" s="19">
        <v>0</v>
      </c>
      <c r="K50" s="20" t="s">
        <v>84</v>
      </c>
      <c r="L50" s="223"/>
    </row>
    <row r="51" spans="1:12" s="1" customFormat="1" ht="26.25" customHeight="1" x14ac:dyDescent="0.25">
      <c r="A51" s="18"/>
      <c r="B51" s="133"/>
      <c r="C51" s="126"/>
      <c r="D51" s="126"/>
      <c r="E51" s="127"/>
      <c r="F51" s="19">
        <v>2019</v>
      </c>
      <c r="G51" s="22">
        <f t="shared" si="0"/>
        <v>0</v>
      </c>
      <c r="H51" s="22">
        <v>0</v>
      </c>
      <c r="I51" s="22">
        <v>0</v>
      </c>
      <c r="J51" s="19">
        <v>0</v>
      </c>
      <c r="K51" s="20" t="s">
        <v>84</v>
      </c>
      <c r="L51" s="223"/>
    </row>
    <row r="52" spans="1:12" s="85" customFormat="1" ht="26.25" customHeight="1" x14ac:dyDescent="0.25">
      <c r="A52" s="81"/>
      <c r="B52" s="160"/>
      <c r="C52" s="161"/>
      <c r="D52" s="161"/>
      <c r="E52" s="162"/>
      <c r="F52" s="82">
        <v>2020</v>
      </c>
      <c r="G52" s="88">
        <f t="shared" si="0"/>
        <v>0</v>
      </c>
      <c r="H52" s="88">
        <v>0</v>
      </c>
      <c r="I52" s="88">
        <v>0</v>
      </c>
      <c r="J52" s="82">
        <v>0</v>
      </c>
      <c r="K52" s="83" t="s">
        <v>84</v>
      </c>
      <c r="L52" s="223"/>
    </row>
    <row r="53" spans="1:12" s="1" customFormat="1" ht="26.25" customHeight="1" x14ac:dyDescent="0.25">
      <c r="A53" s="18"/>
      <c r="B53" s="133"/>
      <c r="C53" s="126"/>
      <c r="D53" s="126"/>
      <c r="E53" s="127"/>
      <c r="F53" s="19">
        <v>2021</v>
      </c>
      <c r="G53" s="22">
        <f t="shared" si="0"/>
        <v>0</v>
      </c>
      <c r="H53" s="22">
        <v>0</v>
      </c>
      <c r="I53" s="22">
        <v>0</v>
      </c>
      <c r="J53" s="19">
        <v>0</v>
      </c>
      <c r="K53" s="20" t="s">
        <v>84</v>
      </c>
      <c r="L53" s="223"/>
    </row>
    <row r="54" spans="1:12" s="1" customFormat="1" ht="26.25" customHeight="1" x14ac:dyDescent="0.25">
      <c r="A54" s="18"/>
      <c r="B54" s="133"/>
      <c r="C54" s="126"/>
      <c r="D54" s="126"/>
      <c r="E54" s="127"/>
      <c r="F54" s="19">
        <v>2022</v>
      </c>
      <c r="G54" s="22">
        <f t="shared" si="0"/>
        <v>0</v>
      </c>
      <c r="H54" s="22">
        <v>0</v>
      </c>
      <c r="I54" s="22">
        <v>0</v>
      </c>
      <c r="J54" s="19">
        <v>0</v>
      </c>
      <c r="K54" s="20" t="s">
        <v>84</v>
      </c>
      <c r="L54" s="223"/>
    </row>
    <row r="55" spans="1:12" s="1" customFormat="1" ht="26.25" customHeight="1" x14ac:dyDescent="0.25">
      <c r="A55" s="18"/>
      <c r="B55" s="133"/>
      <c r="C55" s="126"/>
      <c r="D55" s="126"/>
      <c r="E55" s="127"/>
      <c r="F55" s="19">
        <v>2023</v>
      </c>
      <c r="G55" s="22">
        <f t="shared" si="0"/>
        <v>0</v>
      </c>
      <c r="H55" s="22">
        <v>0</v>
      </c>
      <c r="I55" s="22">
        <v>0</v>
      </c>
      <c r="J55" s="19">
        <v>0</v>
      </c>
      <c r="K55" s="20" t="s">
        <v>84</v>
      </c>
      <c r="L55" s="223"/>
    </row>
    <row r="56" spans="1:12" s="1" customFormat="1" ht="26.25" customHeight="1" x14ac:dyDescent="0.25">
      <c r="A56" s="18"/>
      <c r="B56" s="133"/>
      <c r="C56" s="126"/>
      <c r="D56" s="126"/>
      <c r="E56" s="127"/>
      <c r="F56" s="19">
        <v>2024</v>
      </c>
      <c r="G56" s="22">
        <f t="shared" si="0"/>
        <v>0</v>
      </c>
      <c r="H56" s="22">
        <v>0</v>
      </c>
      <c r="I56" s="22">
        <v>0</v>
      </c>
      <c r="J56" s="19">
        <v>0</v>
      </c>
      <c r="K56" s="20" t="s">
        <v>84</v>
      </c>
      <c r="L56" s="223"/>
    </row>
    <row r="57" spans="1:12" s="1" customFormat="1" ht="26.25" customHeight="1" x14ac:dyDescent="0.25">
      <c r="A57" s="18"/>
      <c r="B57" s="133"/>
      <c r="C57" s="126"/>
      <c r="D57" s="126"/>
      <c r="E57" s="127"/>
      <c r="F57" s="19">
        <v>2025</v>
      </c>
      <c r="G57" s="22">
        <f t="shared" si="0"/>
        <v>0</v>
      </c>
      <c r="H57" s="22">
        <v>0</v>
      </c>
      <c r="I57" s="22">
        <v>0</v>
      </c>
      <c r="J57" s="19">
        <v>0</v>
      </c>
      <c r="K57" s="20" t="s">
        <v>84</v>
      </c>
      <c r="L57" s="223"/>
    </row>
    <row r="58" spans="1:12" s="1" customFormat="1" ht="43.5" customHeight="1" x14ac:dyDescent="0.25">
      <c r="A58" s="18" t="s">
        <v>31</v>
      </c>
      <c r="B58" s="120" t="s">
        <v>32</v>
      </c>
      <c r="C58" s="121"/>
      <c r="D58" s="121"/>
      <c r="E58" s="122"/>
      <c r="F58" s="19"/>
      <c r="G58" s="22"/>
      <c r="H58" s="22"/>
      <c r="I58" s="22"/>
      <c r="J58" s="18"/>
      <c r="K58" s="20"/>
      <c r="L58" s="223"/>
    </row>
    <row r="59" spans="1:12" s="1" customFormat="1" ht="33.75" customHeight="1" x14ac:dyDescent="0.25">
      <c r="A59" s="18"/>
      <c r="B59" s="123" t="s">
        <v>33</v>
      </c>
      <c r="C59" s="126"/>
      <c r="D59" s="126"/>
      <c r="E59" s="127"/>
      <c r="F59" s="19">
        <v>2014</v>
      </c>
      <c r="G59" s="22">
        <f t="shared" si="0"/>
        <v>278570</v>
      </c>
      <c r="H59" s="22">
        <v>273000</v>
      </c>
      <c r="I59" s="22">
        <v>5570</v>
      </c>
      <c r="J59" s="18"/>
      <c r="K59" s="20" t="s">
        <v>84</v>
      </c>
      <c r="L59" s="223"/>
    </row>
    <row r="60" spans="1:12" s="1" customFormat="1" ht="41.25" customHeight="1" x14ac:dyDescent="0.25">
      <c r="A60" s="18"/>
      <c r="B60" s="123" t="s">
        <v>34</v>
      </c>
      <c r="C60" s="126"/>
      <c r="D60" s="126"/>
      <c r="E60" s="127"/>
      <c r="F60" s="19">
        <v>2015</v>
      </c>
      <c r="G60" s="22">
        <f t="shared" si="0"/>
        <v>0</v>
      </c>
      <c r="H60" s="22">
        <v>0</v>
      </c>
      <c r="I60" s="22">
        <v>0</v>
      </c>
      <c r="J60" s="18"/>
      <c r="K60" s="20" t="s">
        <v>84</v>
      </c>
      <c r="L60" s="223"/>
    </row>
    <row r="61" spans="1:12" s="1" customFormat="1" ht="36.75" customHeight="1" x14ac:dyDescent="0.25">
      <c r="A61" s="18"/>
      <c r="B61" s="123" t="s">
        <v>35</v>
      </c>
      <c r="C61" s="126"/>
      <c r="D61" s="126"/>
      <c r="E61" s="127"/>
      <c r="F61" s="19">
        <v>2016</v>
      </c>
      <c r="G61" s="22">
        <f t="shared" si="0"/>
        <v>2199370</v>
      </c>
      <c r="H61" s="22">
        <v>180000</v>
      </c>
      <c r="I61" s="22">
        <f>7370+300000+12000+1700000</f>
        <v>2019370</v>
      </c>
      <c r="J61" s="18"/>
      <c r="K61" s="20" t="s">
        <v>84</v>
      </c>
      <c r="L61" s="223"/>
    </row>
    <row r="62" spans="1:12" s="1" customFormat="1" ht="31.5" customHeight="1" x14ac:dyDescent="0.25">
      <c r="A62" s="18"/>
      <c r="B62" s="123" t="s">
        <v>36</v>
      </c>
      <c r="C62" s="124"/>
      <c r="D62" s="124"/>
      <c r="E62" s="125"/>
      <c r="F62" s="19">
        <v>2017</v>
      </c>
      <c r="G62" s="22">
        <f t="shared" si="0"/>
        <v>512000</v>
      </c>
      <c r="H62" s="22">
        <v>0</v>
      </c>
      <c r="I62" s="22">
        <f>200000+12000+100000+200000</f>
        <v>512000</v>
      </c>
      <c r="J62" s="18"/>
      <c r="K62" s="20" t="s">
        <v>84</v>
      </c>
      <c r="L62" s="223"/>
    </row>
    <row r="63" spans="1:12" s="1" customFormat="1" ht="26.25" customHeight="1" x14ac:dyDescent="0.25">
      <c r="A63" s="18"/>
      <c r="B63" s="133"/>
      <c r="C63" s="126"/>
      <c r="D63" s="126"/>
      <c r="E63" s="127"/>
      <c r="F63" s="19">
        <v>2018</v>
      </c>
      <c r="G63" s="22">
        <f t="shared" si="0"/>
        <v>0</v>
      </c>
      <c r="H63" s="22"/>
      <c r="I63" s="22"/>
      <c r="J63" s="18"/>
      <c r="K63" s="20" t="s">
        <v>84</v>
      </c>
      <c r="L63" s="223"/>
    </row>
    <row r="64" spans="1:12" s="1" customFormat="1" ht="26.25" customHeight="1" x14ac:dyDescent="0.25">
      <c r="A64" s="18"/>
      <c r="B64" s="133"/>
      <c r="C64" s="126"/>
      <c r="D64" s="126"/>
      <c r="E64" s="127"/>
      <c r="F64" s="19">
        <v>2019</v>
      </c>
      <c r="G64" s="22">
        <f t="shared" si="0"/>
        <v>0</v>
      </c>
      <c r="H64" s="22"/>
      <c r="I64" s="22"/>
      <c r="J64" s="18"/>
      <c r="K64" s="20" t="s">
        <v>84</v>
      </c>
      <c r="L64" s="223"/>
    </row>
    <row r="65" spans="1:12" s="85" customFormat="1" ht="26.25" customHeight="1" x14ac:dyDescent="0.25">
      <c r="A65" s="81"/>
      <c r="B65" s="160"/>
      <c r="C65" s="161"/>
      <c r="D65" s="161"/>
      <c r="E65" s="162"/>
      <c r="F65" s="82">
        <v>2020</v>
      </c>
      <c r="G65" s="88">
        <f t="shared" si="0"/>
        <v>0</v>
      </c>
      <c r="H65" s="88"/>
      <c r="I65" s="88"/>
      <c r="J65" s="81"/>
      <c r="K65" s="83" t="s">
        <v>84</v>
      </c>
      <c r="L65" s="223"/>
    </row>
    <row r="66" spans="1:12" s="1" customFormat="1" ht="26.25" customHeight="1" x14ac:dyDescent="0.25">
      <c r="A66" s="18"/>
      <c r="B66" s="133"/>
      <c r="C66" s="126"/>
      <c r="D66" s="126"/>
      <c r="E66" s="127"/>
      <c r="F66" s="19">
        <v>2021</v>
      </c>
      <c r="G66" s="22">
        <f t="shared" si="0"/>
        <v>0</v>
      </c>
      <c r="H66" s="22"/>
      <c r="I66" s="22"/>
      <c r="J66" s="18"/>
      <c r="K66" s="20" t="s">
        <v>84</v>
      </c>
      <c r="L66" s="223"/>
    </row>
    <row r="67" spans="1:12" s="1" customFormat="1" ht="26.25" customHeight="1" x14ac:dyDescent="0.25">
      <c r="A67" s="18"/>
      <c r="B67" s="133"/>
      <c r="C67" s="126"/>
      <c r="D67" s="126"/>
      <c r="E67" s="127"/>
      <c r="F67" s="19">
        <v>2022</v>
      </c>
      <c r="G67" s="22">
        <f t="shared" si="0"/>
        <v>0</v>
      </c>
      <c r="H67" s="22"/>
      <c r="I67" s="22"/>
      <c r="J67" s="18"/>
      <c r="K67" s="20" t="s">
        <v>84</v>
      </c>
      <c r="L67" s="223"/>
    </row>
    <row r="68" spans="1:12" s="1" customFormat="1" ht="26.25" customHeight="1" x14ac:dyDescent="0.25">
      <c r="A68" s="18"/>
      <c r="B68" s="133"/>
      <c r="C68" s="126"/>
      <c r="D68" s="126"/>
      <c r="E68" s="127"/>
      <c r="F68" s="19">
        <v>2023</v>
      </c>
      <c r="G68" s="22">
        <f t="shared" si="0"/>
        <v>0</v>
      </c>
      <c r="H68" s="22"/>
      <c r="I68" s="22"/>
      <c r="J68" s="18"/>
      <c r="K68" s="20" t="s">
        <v>84</v>
      </c>
      <c r="L68" s="223"/>
    </row>
    <row r="69" spans="1:12" s="1" customFormat="1" ht="26.25" customHeight="1" x14ac:dyDescent="0.25">
      <c r="A69" s="18"/>
      <c r="B69" s="133"/>
      <c r="C69" s="126"/>
      <c r="D69" s="126"/>
      <c r="E69" s="127"/>
      <c r="F69" s="19">
        <v>2024</v>
      </c>
      <c r="G69" s="22">
        <f t="shared" si="0"/>
        <v>0</v>
      </c>
      <c r="H69" s="22"/>
      <c r="I69" s="22"/>
      <c r="J69" s="18"/>
      <c r="K69" s="20" t="s">
        <v>84</v>
      </c>
      <c r="L69" s="223"/>
    </row>
    <row r="70" spans="1:12" s="1" customFormat="1" ht="26.25" customHeight="1" x14ac:dyDescent="0.25">
      <c r="A70" s="18"/>
      <c r="B70" s="133"/>
      <c r="C70" s="126"/>
      <c r="D70" s="126"/>
      <c r="E70" s="127"/>
      <c r="F70" s="19">
        <v>2025</v>
      </c>
      <c r="G70" s="22">
        <f t="shared" si="0"/>
        <v>0</v>
      </c>
      <c r="H70" s="22"/>
      <c r="I70" s="22"/>
      <c r="J70" s="18"/>
      <c r="K70" s="20" t="s">
        <v>84</v>
      </c>
      <c r="L70" s="223"/>
    </row>
    <row r="71" spans="1:12" s="7" customFormat="1" ht="26.25" customHeight="1" x14ac:dyDescent="0.2">
      <c r="A71" s="15"/>
      <c r="B71" s="110" t="s">
        <v>37</v>
      </c>
      <c r="C71" s="110"/>
      <c r="D71" s="110"/>
      <c r="E71" s="110"/>
      <c r="F71" s="38">
        <v>2014</v>
      </c>
      <c r="G71" s="72">
        <f>G8+G33+G59+G46</f>
        <v>1429000</v>
      </c>
      <c r="H71" s="72">
        <f t="shared" ref="H71:I74" si="1">H8+H33+H46+H59</f>
        <v>1400420</v>
      </c>
      <c r="I71" s="72">
        <f t="shared" si="1"/>
        <v>28580</v>
      </c>
      <c r="J71" s="15"/>
      <c r="K71" s="20" t="s">
        <v>84</v>
      </c>
      <c r="L71" s="223"/>
    </row>
    <row r="72" spans="1:12" s="7" customFormat="1" ht="26.25" customHeight="1" x14ac:dyDescent="0.2">
      <c r="A72" s="15"/>
      <c r="B72" s="163"/>
      <c r="C72" s="163"/>
      <c r="D72" s="163"/>
      <c r="E72" s="163"/>
      <c r="F72" s="38">
        <v>2015</v>
      </c>
      <c r="G72" s="72">
        <f>G9+G34+G47+G60</f>
        <v>192336.8</v>
      </c>
      <c r="H72" s="72">
        <f t="shared" si="1"/>
        <v>189470</v>
      </c>
      <c r="I72" s="72">
        <f t="shared" si="1"/>
        <v>2866.8</v>
      </c>
      <c r="J72" s="15"/>
      <c r="K72" s="20" t="s">
        <v>84</v>
      </c>
      <c r="L72" s="223"/>
    </row>
    <row r="73" spans="1:12" s="7" customFormat="1" ht="26.25" customHeight="1" x14ac:dyDescent="0.2">
      <c r="A73" s="15"/>
      <c r="B73" s="163"/>
      <c r="C73" s="163"/>
      <c r="D73" s="163"/>
      <c r="E73" s="163"/>
      <c r="F73" s="38">
        <v>2016</v>
      </c>
      <c r="G73" s="72">
        <f>G10+G35+G48+G61</f>
        <v>3906370</v>
      </c>
      <c r="H73" s="72">
        <f t="shared" si="1"/>
        <v>278960</v>
      </c>
      <c r="I73" s="72">
        <f t="shared" si="1"/>
        <v>3627410</v>
      </c>
      <c r="J73" s="15"/>
      <c r="K73" s="20" t="s">
        <v>84</v>
      </c>
      <c r="L73" s="223"/>
    </row>
    <row r="74" spans="1:12" s="7" customFormat="1" ht="26.25" customHeight="1" x14ac:dyDescent="0.2">
      <c r="A74" s="15"/>
      <c r="B74" s="163"/>
      <c r="C74" s="163"/>
      <c r="D74" s="163"/>
      <c r="E74" s="163"/>
      <c r="F74" s="38">
        <v>2017</v>
      </c>
      <c r="G74" s="72">
        <f>G11+G36+G49+G62</f>
        <v>6750920</v>
      </c>
      <c r="H74" s="72">
        <f t="shared" si="1"/>
        <v>675190</v>
      </c>
      <c r="I74" s="72">
        <f t="shared" si="1"/>
        <v>6075730</v>
      </c>
      <c r="J74" s="15"/>
      <c r="K74" s="20" t="s">
        <v>84</v>
      </c>
      <c r="L74" s="223"/>
    </row>
    <row r="75" spans="1:12" s="7" customFormat="1" ht="26.25" customHeight="1" x14ac:dyDescent="0.2">
      <c r="A75" s="15"/>
      <c r="B75" s="163"/>
      <c r="C75" s="163"/>
      <c r="D75" s="163"/>
      <c r="E75" s="163"/>
      <c r="F75" s="38">
        <v>2018</v>
      </c>
      <c r="G75" s="72">
        <f>G12+G13+G37+G50+G63</f>
        <v>3150386</v>
      </c>
      <c r="H75" s="72">
        <f>H12+H13+H37+H50+H63</f>
        <v>674080</v>
      </c>
      <c r="I75" s="72">
        <f>I12+I13+I37+I50+I63</f>
        <v>2476306</v>
      </c>
      <c r="J75" s="15"/>
      <c r="K75" s="20" t="s">
        <v>84</v>
      </c>
      <c r="L75" s="223"/>
    </row>
    <row r="76" spans="1:12" s="7" customFormat="1" ht="26.25" customHeight="1" x14ac:dyDescent="0.2">
      <c r="A76" s="15"/>
      <c r="B76" s="163"/>
      <c r="C76" s="163"/>
      <c r="D76" s="163"/>
      <c r="E76" s="163"/>
      <c r="F76" s="38">
        <v>2019</v>
      </c>
      <c r="G76" s="72">
        <f>G14+G38+G51+G64</f>
        <v>2076750.8599999999</v>
      </c>
      <c r="H76" s="72">
        <f>H14+H38+H51+H64</f>
        <v>442804</v>
      </c>
      <c r="I76" s="72">
        <f>I14+I38+I51+I64</f>
        <v>1633946.8599999999</v>
      </c>
      <c r="J76" s="15"/>
      <c r="K76" s="20" t="s">
        <v>84</v>
      </c>
      <c r="L76" s="223"/>
    </row>
    <row r="77" spans="1:12" s="7" customFormat="1" ht="26.25" customHeight="1" x14ac:dyDescent="0.2">
      <c r="A77" s="15"/>
      <c r="B77" s="163"/>
      <c r="C77" s="163"/>
      <c r="D77" s="163"/>
      <c r="E77" s="163"/>
      <c r="F77" s="38">
        <v>2020</v>
      </c>
      <c r="G77" s="72">
        <f>G15+G16+G17+G18+G39+G52+G65</f>
        <v>766397.96</v>
      </c>
      <c r="H77" s="72">
        <f>H15+H16+H17+H18+H39+H52+H65</f>
        <v>275770</v>
      </c>
      <c r="I77" s="72">
        <f>I15+I16+I17+I18+I39+I52+I65</f>
        <v>490627.96</v>
      </c>
      <c r="J77" s="15"/>
      <c r="K77" s="20" t="s">
        <v>84</v>
      </c>
      <c r="L77" s="223"/>
    </row>
    <row r="78" spans="1:12" s="7" customFormat="1" ht="26.25" customHeight="1" x14ac:dyDescent="0.2">
      <c r="A78" s="15"/>
      <c r="B78" s="163"/>
      <c r="C78" s="163"/>
      <c r="D78" s="163"/>
      <c r="E78" s="163"/>
      <c r="F78" s="38">
        <v>2021</v>
      </c>
      <c r="G78" s="72">
        <f>H78+I78</f>
        <v>917143</v>
      </c>
      <c r="H78" s="72">
        <f>H19+H20+H21+H22+H40+H53+H66</f>
        <v>614600</v>
      </c>
      <c r="I78" s="72">
        <f>I19+I20+I21+I22+I40+I53+I66+I23</f>
        <v>302543</v>
      </c>
      <c r="J78" s="15"/>
      <c r="K78" s="20" t="s">
        <v>84</v>
      </c>
      <c r="L78" s="223"/>
    </row>
    <row r="79" spans="1:12" s="6" customFormat="1" ht="26.25" customHeight="1" x14ac:dyDescent="0.2">
      <c r="A79" s="8"/>
      <c r="B79" s="163"/>
      <c r="C79" s="163"/>
      <c r="D79" s="163"/>
      <c r="E79" s="163"/>
      <c r="F79" s="39">
        <v>2022</v>
      </c>
      <c r="G79" s="73">
        <f>G24+G25+G26+G27+G41+G54+G67</f>
        <v>5501735</v>
      </c>
      <c r="H79" s="73">
        <f>H24+H25+H26+H27+H41+H54+H67</f>
        <v>491700</v>
      </c>
      <c r="I79" s="73">
        <f>I24+I25+I26+I27+I41+I54+I67</f>
        <v>5010035</v>
      </c>
      <c r="J79" s="8"/>
      <c r="K79" s="20" t="s">
        <v>84</v>
      </c>
      <c r="L79" s="223"/>
    </row>
    <row r="80" spans="1:12" s="6" customFormat="1" ht="26.25" customHeight="1" x14ac:dyDescent="0.2">
      <c r="A80" s="8"/>
      <c r="B80" s="163"/>
      <c r="C80" s="163"/>
      <c r="D80" s="163"/>
      <c r="E80" s="163"/>
      <c r="F80" s="39">
        <v>2023</v>
      </c>
      <c r="G80" s="73">
        <f>H80+I80</f>
        <v>5501735</v>
      </c>
      <c r="H80" s="73">
        <f>H28+H42+H55+H68+H29</f>
        <v>491700</v>
      </c>
      <c r="I80" s="73">
        <f>I28+I42+I55+I68+I29</f>
        <v>5010035</v>
      </c>
      <c r="J80" s="8"/>
      <c r="K80" s="20" t="s">
        <v>84</v>
      </c>
      <c r="L80" s="223"/>
    </row>
    <row r="81" spans="1:12" s="6" customFormat="1" ht="26.25" customHeight="1" x14ac:dyDescent="0.2">
      <c r="A81" s="8"/>
      <c r="B81" s="163"/>
      <c r="C81" s="163"/>
      <c r="D81" s="163"/>
      <c r="E81" s="163"/>
      <c r="F81" s="39">
        <v>2024</v>
      </c>
      <c r="G81" s="73">
        <f>H81+I81</f>
        <v>0</v>
      </c>
      <c r="H81" s="73">
        <f t="shared" ref="H81:I82" si="2">H30+H43+H56+H69</f>
        <v>0</v>
      </c>
      <c r="I81" s="73">
        <f t="shared" si="2"/>
        <v>0</v>
      </c>
      <c r="J81" s="8"/>
      <c r="K81" s="20" t="s">
        <v>84</v>
      </c>
      <c r="L81" s="223"/>
    </row>
    <row r="82" spans="1:12" s="6" customFormat="1" ht="26.25" customHeight="1" x14ac:dyDescent="0.2">
      <c r="A82" s="53"/>
      <c r="B82" s="113"/>
      <c r="C82" s="113"/>
      <c r="D82" s="113"/>
      <c r="E82" s="113"/>
      <c r="F82" s="39">
        <v>2025</v>
      </c>
      <c r="G82" s="73">
        <f>H82+I82</f>
        <v>0</v>
      </c>
      <c r="H82" s="73">
        <f t="shared" si="2"/>
        <v>0</v>
      </c>
      <c r="I82" s="73">
        <f t="shared" si="2"/>
        <v>0</v>
      </c>
      <c r="J82" s="8"/>
      <c r="K82" s="20" t="s">
        <v>84</v>
      </c>
      <c r="L82" s="223"/>
    </row>
    <row r="83" spans="1:12" x14ac:dyDescent="0.25">
      <c r="L83" s="223"/>
    </row>
    <row r="85" spans="1:12" x14ac:dyDescent="0.25">
      <c r="G85" s="74">
        <f>SUM(G71:G82)</f>
        <v>30192774.620000001</v>
      </c>
      <c r="H85" s="74">
        <f t="shared" ref="H85:I85" si="3">SUM(H71:H82)</f>
        <v>5534694</v>
      </c>
      <c r="I85" s="74">
        <f t="shared" si="3"/>
        <v>24658080.620000001</v>
      </c>
    </row>
    <row r="86" spans="1:12" x14ac:dyDescent="0.25">
      <c r="G86" s="77"/>
      <c r="H86" s="77"/>
      <c r="I86" s="77"/>
    </row>
  </sheetData>
  <mergeCells count="77">
    <mergeCell ref="B59:E59"/>
    <mergeCell ref="B70:E70"/>
    <mergeCell ref="B66:E66"/>
    <mergeCell ref="B67:E67"/>
    <mergeCell ref="B71:E82"/>
    <mergeCell ref="B68:E68"/>
    <mergeCell ref="B69:E69"/>
    <mergeCell ref="B62:E62"/>
    <mergeCell ref="B63:E63"/>
    <mergeCell ref="B64:E64"/>
    <mergeCell ref="B65:E65"/>
    <mergeCell ref="B61:E61"/>
    <mergeCell ref="B58:E58"/>
    <mergeCell ref="B49:E49"/>
    <mergeCell ref="B50:E50"/>
    <mergeCell ref="B51:E51"/>
    <mergeCell ref="B52:E52"/>
    <mergeCell ref="B53:E53"/>
    <mergeCell ref="B19:E19"/>
    <mergeCell ref="B20:E20"/>
    <mergeCell ref="B21:E21"/>
    <mergeCell ref="F19:F23"/>
    <mergeCell ref="B57:E57"/>
    <mergeCell ref="F24:F27"/>
    <mergeCell ref="B28:E28"/>
    <mergeCell ref="B30:E30"/>
    <mergeCell ref="B31:E31"/>
    <mergeCell ref="B32:E32"/>
    <mergeCell ref="B24:E24"/>
    <mergeCell ref="B25:E25"/>
    <mergeCell ref="B26:E26"/>
    <mergeCell ref="B27:E27"/>
    <mergeCell ref="B33:E33"/>
    <mergeCell ref="B34:E34"/>
    <mergeCell ref="B15:E15"/>
    <mergeCell ref="F15:F18"/>
    <mergeCell ref="B16:E16"/>
    <mergeCell ref="B17:E17"/>
    <mergeCell ref="B18:E18"/>
    <mergeCell ref="B12:E12"/>
    <mergeCell ref="B9:E9"/>
    <mergeCell ref="F12:F13"/>
    <mergeCell ref="B13:E13"/>
    <mergeCell ref="B14:E14"/>
    <mergeCell ref="A6:K6"/>
    <mergeCell ref="B7:E7"/>
    <mergeCell ref="B8:E8"/>
    <mergeCell ref="B10:E10"/>
    <mergeCell ref="B11:E11"/>
    <mergeCell ref="B35:E35"/>
    <mergeCell ref="B22:E22"/>
    <mergeCell ref="B44:E44"/>
    <mergeCell ref="B29:E29"/>
    <mergeCell ref="B23:E23"/>
    <mergeCell ref="B45:E45"/>
    <mergeCell ref="B36:E36"/>
    <mergeCell ref="B37:E37"/>
    <mergeCell ref="B38:E38"/>
    <mergeCell ref="B60:E60"/>
    <mergeCell ref="B46:E46"/>
    <mergeCell ref="B47:E47"/>
    <mergeCell ref="B48:E48"/>
    <mergeCell ref="B39:E39"/>
    <mergeCell ref="B40:E40"/>
    <mergeCell ref="B41:E41"/>
    <mergeCell ref="B42:E42"/>
    <mergeCell ref="B43:E43"/>
    <mergeCell ref="B54:E54"/>
    <mergeCell ref="B55:E55"/>
    <mergeCell ref="B56:E56"/>
    <mergeCell ref="J1:K1"/>
    <mergeCell ref="A3:J3"/>
    <mergeCell ref="K3:K5"/>
    <mergeCell ref="A4:A5"/>
    <mergeCell ref="B4:E5"/>
    <mergeCell ref="F4:F5"/>
    <mergeCell ref="G4:J4"/>
  </mergeCells>
  <pageMargins left="0.70866141732283472" right="0.70866141732283472" top="0.74803149606299213" bottom="0.74803149606299213" header="0.31496062992125984" footer="0.31496062992125984"/>
  <pageSetup paperSize="9" scale="71" fitToWidth="4" fitToHeight="4"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42"/>
  <sheetViews>
    <sheetView topLeftCell="A12" workbookViewId="0">
      <selection activeCell="I36" sqref="I36"/>
    </sheetView>
  </sheetViews>
  <sheetFormatPr defaultRowHeight="15" x14ac:dyDescent="0.25"/>
  <cols>
    <col min="5" max="5" width="17" customWidth="1"/>
    <col min="7" max="7" width="13.28515625" customWidth="1"/>
    <col min="8" max="8" width="13.140625" customWidth="1"/>
    <col min="9" max="9" width="12.28515625" customWidth="1"/>
    <col min="13" max="13" width="13.42578125" customWidth="1"/>
  </cols>
  <sheetData>
    <row r="1" spans="1:13" s="1" customFormat="1" x14ac:dyDescent="0.25">
      <c r="A1" s="140" t="s">
        <v>38</v>
      </c>
      <c r="B1" s="141"/>
      <c r="C1" s="141"/>
      <c r="D1" s="141"/>
      <c r="E1" s="141"/>
      <c r="F1" s="141"/>
      <c r="G1" s="141"/>
      <c r="H1" s="141"/>
      <c r="I1" s="141"/>
      <c r="J1" s="141"/>
      <c r="K1" s="141"/>
      <c r="L1" s="141"/>
      <c r="M1" s="142"/>
    </row>
    <row r="2" spans="1:13" s="1" customFormat="1" ht="67.5" customHeight="1" x14ac:dyDescent="0.25">
      <c r="A2" s="8" t="s">
        <v>39</v>
      </c>
      <c r="B2" s="143" t="s">
        <v>40</v>
      </c>
      <c r="C2" s="144"/>
      <c r="D2" s="144"/>
      <c r="E2" s="144"/>
      <c r="F2" s="19"/>
      <c r="G2" s="18"/>
      <c r="H2" s="18"/>
      <c r="I2" s="18"/>
      <c r="J2" s="18"/>
      <c r="K2" s="168"/>
      <c r="L2" s="169"/>
      <c r="M2" s="170"/>
    </row>
    <row r="3" spans="1:13" s="1" customFormat="1" ht="22.5" customHeight="1" x14ac:dyDescent="0.25">
      <c r="A3" s="18"/>
      <c r="B3" s="165" t="s">
        <v>41</v>
      </c>
      <c r="C3" s="165"/>
      <c r="D3" s="165"/>
      <c r="E3" s="165"/>
      <c r="F3" s="19">
        <v>2014</v>
      </c>
      <c r="G3" s="64">
        <f>H3+I3+J3</f>
        <v>129540</v>
      </c>
      <c r="H3" s="64">
        <v>127000</v>
      </c>
      <c r="I3" s="64">
        <v>2540</v>
      </c>
      <c r="J3" s="18"/>
      <c r="K3" s="18" t="s">
        <v>84</v>
      </c>
      <c r="L3" s="18"/>
      <c r="M3" s="2"/>
    </row>
    <row r="4" spans="1:13" s="1" customFormat="1" x14ac:dyDescent="0.25">
      <c r="A4" s="18"/>
      <c r="B4" s="133"/>
      <c r="C4" s="126"/>
      <c r="D4" s="126"/>
      <c r="E4" s="127"/>
      <c r="F4" s="19">
        <v>2015</v>
      </c>
      <c r="G4" s="64">
        <f t="shared" ref="G4:G14" si="0">H4+I4+J4</f>
        <v>0</v>
      </c>
      <c r="H4" s="64">
        <v>0</v>
      </c>
      <c r="I4" s="64">
        <v>0</v>
      </c>
      <c r="J4" s="18"/>
      <c r="K4" s="18" t="s">
        <v>84</v>
      </c>
      <c r="L4" s="18"/>
      <c r="M4" s="2"/>
    </row>
    <row r="5" spans="1:13" s="1" customFormat="1" ht="31.5" customHeight="1" x14ac:dyDescent="0.25">
      <c r="A5" s="18"/>
      <c r="B5" s="165" t="s">
        <v>42</v>
      </c>
      <c r="C5" s="165"/>
      <c r="D5" s="165"/>
      <c r="E5" s="165"/>
      <c r="F5" s="19">
        <v>2016</v>
      </c>
      <c r="G5" s="64">
        <f t="shared" si="0"/>
        <v>141540</v>
      </c>
      <c r="H5" s="64">
        <v>103000</v>
      </c>
      <c r="I5" s="64">
        <v>38540</v>
      </c>
      <c r="J5" s="18"/>
      <c r="K5" s="18" t="s">
        <v>84</v>
      </c>
      <c r="L5" s="18"/>
      <c r="M5" s="2"/>
    </row>
    <row r="6" spans="1:13" s="1" customFormat="1" ht="67.5" customHeight="1" x14ac:dyDescent="0.25">
      <c r="A6" s="18"/>
      <c r="B6" s="164" t="s">
        <v>43</v>
      </c>
      <c r="C6" s="164"/>
      <c r="D6" s="164"/>
      <c r="E6" s="164"/>
      <c r="F6" s="19">
        <v>2017</v>
      </c>
      <c r="G6" s="64">
        <f t="shared" si="0"/>
        <v>1420320</v>
      </c>
      <c r="H6" s="64">
        <v>216000</v>
      </c>
      <c r="I6" s="64">
        <f>1200000+4320</f>
        <v>1204320</v>
      </c>
      <c r="J6" s="18"/>
      <c r="K6" s="18" t="s">
        <v>84</v>
      </c>
      <c r="L6" s="18"/>
      <c r="M6" s="2"/>
    </row>
    <row r="7" spans="1:13" s="1" customFormat="1" ht="13.5" customHeight="1" x14ac:dyDescent="0.25">
      <c r="A7" s="18"/>
      <c r="B7" s="143"/>
      <c r="C7" s="144"/>
      <c r="D7" s="144"/>
      <c r="E7" s="144"/>
      <c r="F7" s="19">
        <v>2018</v>
      </c>
      <c r="G7" s="64">
        <f t="shared" si="0"/>
        <v>0</v>
      </c>
      <c r="H7" s="64">
        <v>0</v>
      </c>
      <c r="I7" s="64">
        <v>0</v>
      </c>
      <c r="J7" s="18"/>
      <c r="K7" s="18" t="s">
        <v>84</v>
      </c>
      <c r="L7" s="18"/>
      <c r="M7" s="2"/>
    </row>
    <row r="8" spans="1:13" s="1" customFormat="1" ht="13.5" customHeight="1" x14ac:dyDescent="0.25">
      <c r="A8" s="18"/>
      <c r="B8" s="133"/>
      <c r="C8" s="126"/>
      <c r="D8" s="126"/>
      <c r="E8" s="127"/>
      <c r="F8" s="19">
        <v>2019</v>
      </c>
      <c r="G8" s="64">
        <f t="shared" si="0"/>
        <v>0</v>
      </c>
      <c r="H8" s="64">
        <v>0</v>
      </c>
      <c r="I8" s="224">
        <v>0</v>
      </c>
      <c r="J8" s="18"/>
      <c r="K8" s="18" t="s">
        <v>84</v>
      </c>
      <c r="L8" s="18"/>
      <c r="M8" s="2"/>
    </row>
    <row r="9" spans="1:13" s="85" customFormat="1" ht="13.5" customHeight="1" x14ac:dyDescent="0.25">
      <c r="A9" s="81"/>
      <c r="B9" s="160"/>
      <c r="C9" s="161"/>
      <c r="D9" s="161"/>
      <c r="E9" s="162"/>
      <c r="F9" s="82">
        <v>2020</v>
      </c>
      <c r="G9" s="95">
        <f t="shared" si="0"/>
        <v>0</v>
      </c>
      <c r="H9" s="95">
        <v>0</v>
      </c>
      <c r="I9" s="95">
        <v>0</v>
      </c>
      <c r="J9" s="81"/>
      <c r="K9" s="81" t="s">
        <v>84</v>
      </c>
      <c r="L9" s="81"/>
      <c r="M9" s="94"/>
    </row>
    <row r="10" spans="1:13" s="1" customFormat="1" ht="13.5" customHeight="1" x14ac:dyDescent="0.25">
      <c r="A10" s="18"/>
      <c r="B10" s="133"/>
      <c r="C10" s="126"/>
      <c r="D10" s="126"/>
      <c r="E10" s="127"/>
      <c r="F10" s="19">
        <v>2021</v>
      </c>
      <c r="G10" s="64">
        <f t="shared" si="0"/>
        <v>0</v>
      </c>
      <c r="H10" s="64">
        <v>0</v>
      </c>
      <c r="I10" s="64">
        <v>0</v>
      </c>
      <c r="J10" s="18"/>
      <c r="K10" s="18" t="s">
        <v>84</v>
      </c>
      <c r="L10" s="18"/>
      <c r="M10" s="2"/>
    </row>
    <row r="11" spans="1:13" s="1" customFormat="1" ht="13.5" customHeight="1" x14ac:dyDescent="0.25">
      <c r="A11" s="18"/>
      <c r="B11" s="133"/>
      <c r="C11" s="126"/>
      <c r="D11" s="126"/>
      <c r="E11" s="127"/>
      <c r="F11" s="19">
        <v>2022</v>
      </c>
      <c r="G11" s="64">
        <f t="shared" si="0"/>
        <v>0</v>
      </c>
      <c r="H11" s="64">
        <v>0</v>
      </c>
      <c r="I11" s="64">
        <v>0</v>
      </c>
      <c r="J11" s="18"/>
      <c r="K11" s="18" t="s">
        <v>84</v>
      </c>
      <c r="L11" s="18"/>
      <c r="M11" s="2"/>
    </row>
    <row r="12" spans="1:13" s="1" customFormat="1" ht="13.5" customHeight="1" x14ac:dyDescent="0.25">
      <c r="A12" s="18"/>
      <c r="B12" s="133"/>
      <c r="C12" s="126"/>
      <c r="D12" s="126"/>
      <c r="E12" s="127"/>
      <c r="F12" s="19">
        <v>2023</v>
      </c>
      <c r="G12" s="64">
        <f t="shared" si="0"/>
        <v>0</v>
      </c>
      <c r="H12" s="64">
        <v>0</v>
      </c>
      <c r="I12" s="64">
        <v>0</v>
      </c>
      <c r="J12" s="18"/>
      <c r="K12" s="18" t="s">
        <v>84</v>
      </c>
      <c r="L12" s="18"/>
      <c r="M12" s="2"/>
    </row>
    <row r="13" spans="1:13" s="1" customFormat="1" ht="13.5" customHeight="1" x14ac:dyDescent="0.25">
      <c r="A13" s="18"/>
      <c r="B13" s="133"/>
      <c r="C13" s="126"/>
      <c r="D13" s="126"/>
      <c r="E13" s="127"/>
      <c r="F13" s="19">
        <v>2024</v>
      </c>
      <c r="G13" s="64">
        <f t="shared" si="0"/>
        <v>0</v>
      </c>
      <c r="H13" s="64">
        <v>0</v>
      </c>
      <c r="I13" s="64">
        <v>0</v>
      </c>
      <c r="J13" s="18"/>
      <c r="K13" s="18" t="s">
        <v>84</v>
      </c>
      <c r="L13" s="18"/>
      <c r="M13" s="2"/>
    </row>
    <row r="14" spans="1:13" s="1" customFormat="1" ht="13.5" customHeight="1" x14ac:dyDescent="0.25">
      <c r="A14" s="18"/>
      <c r="B14" s="133"/>
      <c r="C14" s="126"/>
      <c r="D14" s="126"/>
      <c r="E14" s="127"/>
      <c r="F14" s="19">
        <v>2025</v>
      </c>
      <c r="G14" s="64">
        <f t="shared" si="0"/>
        <v>0</v>
      </c>
      <c r="H14" s="64">
        <v>0</v>
      </c>
      <c r="I14" s="64">
        <v>0</v>
      </c>
      <c r="J14" s="18"/>
      <c r="K14" s="18" t="s">
        <v>84</v>
      </c>
      <c r="L14" s="18"/>
      <c r="M14" s="2"/>
    </row>
    <row r="15" spans="1:13" s="1" customFormat="1" ht="54.75" customHeight="1" x14ac:dyDescent="0.25">
      <c r="A15" s="8" t="s">
        <v>44</v>
      </c>
      <c r="B15" s="143" t="s">
        <v>45</v>
      </c>
      <c r="C15" s="144"/>
      <c r="D15" s="144"/>
      <c r="E15" s="144"/>
      <c r="F15" s="19"/>
      <c r="G15" s="64"/>
      <c r="H15" s="64"/>
      <c r="I15" s="64"/>
      <c r="J15" s="18"/>
      <c r="K15" s="168"/>
      <c r="L15" s="169"/>
      <c r="M15" s="170"/>
    </row>
    <row r="16" spans="1:13" s="1" customFormat="1" x14ac:dyDescent="0.25">
      <c r="A16" s="18"/>
      <c r="B16" s="165" t="s">
        <v>46</v>
      </c>
      <c r="C16" s="165"/>
      <c r="D16" s="165"/>
      <c r="E16" s="165"/>
      <c r="F16" s="19">
        <v>2014</v>
      </c>
      <c r="G16" s="64">
        <f>H16+I16+J16</f>
        <v>0</v>
      </c>
      <c r="H16" s="64"/>
      <c r="I16" s="64"/>
      <c r="J16" s="18"/>
      <c r="K16" s="18" t="s">
        <v>84</v>
      </c>
      <c r="L16" s="18"/>
      <c r="M16" s="2"/>
    </row>
    <row r="17" spans="1:13" s="1" customFormat="1" x14ac:dyDescent="0.25">
      <c r="A17" s="18"/>
      <c r="B17" s="165" t="s">
        <v>46</v>
      </c>
      <c r="C17" s="165"/>
      <c r="D17" s="165"/>
      <c r="E17" s="165"/>
      <c r="F17" s="19">
        <v>2015</v>
      </c>
      <c r="G17" s="64">
        <f t="shared" ref="G17:G27" si="1">H17+I17+J17</f>
        <v>0</v>
      </c>
      <c r="H17" s="64"/>
      <c r="I17" s="64"/>
      <c r="J17" s="18"/>
      <c r="K17" s="18" t="s">
        <v>84</v>
      </c>
      <c r="L17" s="18"/>
      <c r="M17" s="2"/>
    </row>
    <row r="18" spans="1:13" s="1" customFormat="1" x14ac:dyDescent="0.25">
      <c r="A18" s="18"/>
      <c r="B18" s="165" t="s">
        <v>46</v>
      </c>
      <c r="C18" s="165"/>
      <c r="D18" s="165"/>
      <c r="E18" s="165"/>
      <c r="F18" s="19">
        <v>2016</v>
      </c>
      <c r="G18" s="64">
        <f t="shared" si="1"/>
        <v>0</v>
      </c>
      <c r="H18" s="64"/>
      <c r="I18" s="64"/>
      <c r="J18" s="18"/>
      <c r="K18" s="18" t="s">
        <v>84</v>
      </c>
      <c r="L18" s="18"/>
      <c r="M18" s="2"/>
    </row>
    <row r="19" spans="1:13" s="1" customFormat="1" x14ac:dyDescent="0.25">
      <c r="A19" s="18"/>
      <c r="B19" s="165" t="s">
        <v>46</v>
      </c>
      <c r="C19" s="165"/>
      <c r="D19" s="165"/>
      <c r="E19" s="165"/>
      <c r="F19" s="19">
        <v>2017</v>
      </c>
      <c r="G19" s="64">
        <f t="shared" si="1"/>
        <v>0</v>
      </c>
      <c r="H19" s="64"/>
      <c r="I19" s="64"/>
      <c r="J19" s="18"/>
      <c r="K19" s="18" t="s">
        <v>84</v>
      </c>
      <c r="L19" s="18"/>
      <c r="M19" s="2"/>
    </row>
    <row r="20" spans="1:13" s="1" customFormat="1" ht="49.5" customHeight="1" x14ac:dyDescent="0.25">
      <c r="A20" s="18"/>
      <c r="B20" s="164" t="s">
        <v>47</v>
      </c>
      <c r="C20" s="165"/>
      <c r="D20" s="165"/>
      <c r="E20" s="165"/>
      <c r="F20" s="19">
        <v>2018</v>
      </c>
      <c r="G20" s="64">
        <f t="shared" si="1"/>
        <v>10153061.220000001</v>
      </c>
      <c r="H20" s="64">
        <v>9950000</v>
      </c>
      <c r="I20" s="64">
        <v>203061.22</v>
      </c>
      <c r="J20" s="18"/>
      <c r="K20" s="18" t="s">
        <v>84</v>
      </c>
      <c r="L20" s="18"/>
      <c r="M20" s="2"/>
    </row>
    <row r="21" spans="1:13" s="1" customFormat="1" ht="57.75" customHeight="1" x14ac:dyDescent="0.25">
      <c r="A21" s="18"/>
      <c r="B21" s="164" t="s">
        <v>48</v>
      </c>
      <c r="C21" s="165"/>
      <c r="D21" s="165"/>
      <c r="E21" s="165"/>
      <c r="F21" s="19">
        <v>2019</v>
      </c>
      <c r="G21" s="64">
        <f t="shared" si="1"/>
        <v>4748000</v>
      </c>
      <c r="H21" s="64">
        <v>4415640</v>
      </c>
      <c r="I21" s="64">
        <v>332360</v>
      </c>
      <c r="J21" s="18"/>
      <c r="K21" s="18" t="s">
        <v>84</v>
      </c>
      <c r="L21" s="18"/>
      <c r="M21" s="2"/>
    </row>
    <row r="22" spans="1:13" s="85" customFormat="1" ht="93" customHeight="1" x14ac:dyDescent="0.25">
      <c r="A22" s="81"/>
      <c r="B22" s="166" t="s">
        <v>103</v>
      </c>
      <c r="C22" s="167"/>
      <c r="D22" s="167"/>
      <c r="E22" s="167"/>
      <c r="F22" s="82">
        <v>2020</v>
      </c>
      <c r="G22" s="95">
        <f t="shared" si="1"/>
        <v>3861000</v>
      </c>
      <c r="H22" s="95"/>
      <c r="I22" s="95">
        <f>300000+3561000</f>
        <v>3861000</v>
      </c>
      <c r="J22" s="81">
        <v>0</v>
      </c>
      <c r="K22" s="81" t="s">
        <v>84</v>
      </c>
      <c r="L22" s="81"/>
      <c r="M22" s="94"/>
    </row>
    <row r="23" spans="1:13" s="1" customFormat="1" ht="63" customHeight="1" x14ac:dyDescent="0.25">
      <c r="A23" s="18"/>
      <c r="B23" s="164" t="s">
        <v>49</v>
      </c>
      <c r="C23" s="165"/>
      <c r="D23" s="165"/>
      <c r="E23" s="165"/>
      <c r="F23" s="19">
        <v>2021</v>
      </c>
      <c r="G23" s="64">
        <f>H23+I23</f>
        <v>3561000</v>
      </c>
      <c r="H23" s="64">
        <v>0</v>
      </c>
      <c r="I23" s="64">
        <v>3561000</v>
      </c>
      <c r="J23" s="18">
        <v>0</v>
      </c>
      <c r="K23" s="18" t="s">
        <v>84</v>
      </c>
      <c r="L23" s="18"/>
      <c r="M23" s="2"/>
    </row>
    <row r="24" spans="1:13" s="1" customFormat="1" x14ac:dyDescent="0.25">
      <c r="A24" s="18"/>
      <c r="B24" s="165"/>
      <c r="C24" s="165"/>
      <c r="D24" s="165"/>
      <c r="E24" s="165"/>
      <c r="F24" s="19">
        <v>2022</v>
      </c>
      <c r="G24" s="64">
        <f t="shared" si="1"/>
        <v>0</v>
      </c>
      <c r="H24" s="64">
        <v>0</v>
      </c>
      <c r="I24" s="64">
        <v>0</v>
      </c>
      <c r="J24" s="18">
        <v>0</v>
      </c>
      <c r="K24" s="18" t="s">
        <v>84</v>
      </c>
      <c r="L24" s="18"/>
      <c r="M24" s="2"/>
    </row>
    <row r="25" spans="1:13" s="1" customFormat="1" x14ac:dyDescent="0.25">
      <c r="A25" s="18"/>
      <c r="B25" s="133"/>
      <c r="C25" s="126"/>
      <c r="D25" s="126"/>
      <c r="E25" s="127"/>
      <c r="F25" s="19">
        <v>2023</v>
      </c>
      <c r="G25" s="64">
        <f t="shared" si="1"/>
        <v>0</v>
      </c>
      <c r="H25" s="64">
        <v>0</v>
      </c>
      <c r="I25" s="64">
        <v>0</v>
      </c>
      <c r="J25" s="18"/>
      <c r="K25" s="18" t="s">
        <v>84</v>
      </c>
      <c r="L25" s="18"/>
      <c r="M25" s="2"/>
    </row>
    <row r="26" spans="1:13" s="1" customFormat="1" x14ac:dyDescent="0.25">
      <c r="A26" s="18"/>
      <c r="B26" s="133"/>
      <c r="C26" s="126"/>
      <c r="D26" s="126"/>
      <c r="E26" s="127"/>
      <c r="F26" s="19">
        <v>2024</v>
      </c>
      <c r="G26" s="64">
        <f t="shared" si="1"/>
        <v>0</v>
      </c>
      <c r="H26" s="64">
        <v>0</v>
      </c>
      <c r="I26" s="64">
        <v>0</v>
      </c>
      <c r="J26" s="18"/>
      <c r="K26" s="18" t="s">
        <v>84</v>
      </c>
      <c r="L26" s="18"/>
      <c r="M26" s="2"/>
    </row>
    <row r="27" spans="1:13" s="1" customFormat="1" x14ac:dyDescent="0.25">
      <c r="A27" s="18"/>
      <c r="B27" s="133"/>
      <c r="C27" s="126"/>
      <c r="D27" s="126"/>
      <c r="E27" s="127"/>
      <c r="F27" s="19">
        <v>2025</v>
      </c>
      <c r="G27" s="64">
        <f t="shared" si="1"/>
        <v>0</v>
      </c>
      <c r="H27" s="64">
        <v>0</v>
      </c>
      <c r="I27" s="64">
        <v>0</v>
      </c>
      <c r="J27" s="18"/>
      <c r="K27" s="18" t="s">
        <v>84</v>
      </c>
      <c r="L27" s="18"/>
      <c r="M27" s="2"/>
    </row>
    <row r="28" spans="1:13" s="13" customFormat="1" ht="14.25" x14ac:dyDescent="0.2">
      <c r="A28" s="38"/>
      <c r="B28" s="144" t="s">
        <v>50</v>
      </c>
      <c r="C28" s="144"/>
      <c r="D28" s="144"/>
      <c r="E28" s="144"/>
      <c r="F28" s="38">
        <v>2014</v>
      </c>
      <c r="G28" s="72">
        <f t="shared" ref="G28:I35" si="2">G3+G16</f>
        <v>129540</v>
      </c>
      <c r="H28" s="72">
        <f t="shared" si="2"/>
        <v>127000</v>
      </c>
      <c r="I28" s="72">
        <f t="shared" si="2"/>
        <v>2540</v>
      </c>
      <c r="J28" s="38"/>
      <c r="K28" s="18" t="s">
        <v>84</v>
      </c>
      <c r="L28" s="38"/>
      <c r="M28" s="58"/>
    </row>
    <row r="29" spans="1:13" s="13" customFormat="1" ht="14.25" x14ac:dyDescent="0.2">
      <c r="A29" s="38"/>
      <c r="B29" s="144"/>
      <c r="C29" s="144"/>
      <c r="D29" s="144"/>
      <c r="E29" s="144"/>
      <c r="F29" s="38">
        <v>2015</v>
      </c>
      <c r="G29" s="72">
        <f t="shared" si="2"/>
        <v>0</v>
      </c>
      <c r="H29" s="72">
        <f t="shared" si="2"/>
        <v>0</v>
      </c>
      <c r="I29" s="72">
        <f t="shared" si="2"/>
        <v>0</v>
      </c>
      <c r="J29" s="38"/>
      <c r="K29" s="18" t="s">
        <v>84</v>
      </c>
      <c r="L29" s="38"/>
      <c r="M29" s="58"/>
    </row>
    <row r="30" spans="1:13" s="13" customFormat="1" ht="14.25" x14ac:dyDescent="0.2">
      <c r="A30" s="38"/>
      <c r="B30" s="144"/>
      <c r="C30" s="144"/>
      <c r="D30" s="144"/>
      <c r="E30" s="144"/>
      <c r="F30" s="38">
        <v>2016</v>
      </c>
      <c r="G30" s="72">
        <f t="shared" si="2"/>
        <v>141540</v>
      </c>
      <c r="H30" s="72">
        <f t="shared" si="2"/>
        <v>103000</v>
      </c>
      <c r="I30" s="72">
        <f t="shared" si="2"/>
        <v>38540</v>
      </c>
      <c r="J30" s="38"/>
      <c r="K30" s="18" t="s">
        <v>84</v>
      </c>
      <c r="L30" s="38"/>
      <c r="M30" s="58"/>
    </row>
    <row r="31" spans="1:13" s="13" customFormat="1" ht="14.25" x14ac:dyDescent="0.2">
      <c r="A31" s="38"/>
      <c r="B31" s="144"/>
      <c r="C31" s="144"/>
      <c r="D31" s="144"/>
      <c r="E31" s="144"/>
      <c r="F31" s="38">
        <v>2017</v>
      </c>
      <c r="G31" s="72">
        <f t="shared" si="2"/>
        <v>1420320</v>
      </c>
      <c r="H31" s="72">
        <f t="shared" si="2"/>
        <v>216000</v>
      </c>
      <c r="I31" s="72">
        <f t="shared" si="2"/>
        <v>1204320</v>
      </c>
      <c r="J31" s="38"/>
      <c r="K31" s="18" t="s">
        <v>84</v>
      </c>
      <c r="L31" s="38"/>
      <c r="M31" s="58"/>
    </row>
    <row r="32" spans="1:13" s="13" customFormat="1" ht="14.25" x14ac:dyDescent="0.2">
      <c r="A32" s="38"/>
      <c r="B32" s="144"/>
      <c r="C32" s="144"/>
      <c r="D32" s="144"/>
      <c r="E32" s="144"/>
      <c r="F32" s="38">
        <v>2018</v>
      </c>
      <c r="G32" s="72">
        <f t="shared" si="2"/>
        <v>10153061.220000001</v>
      </c>
      <c r="H32" s="72">
        <f t="shared" si="2"/>
        <v>9950000</v>
      </c>
      <c r="I32" s="72">
        <f t="shared" si="2"/>
        <v>203061.22</v>
      </c>
      <c r="J32" s="38"/>
      <c r="K32" s="18" t="s">
        <v>84</v>
      </c>
      <c r="L32" s="38"/>
      <c r="M32" s="58"/>
    </row>
    <row r="33" spans="1:13" s="13" customFormat="1" ht="14.25" x14ac:dyDescent="0.2">
      <c r="A33" s="38"/>
      <c r="B33" s="144"/>
      <c r="C33" s="144"/>
      <c r="D33" s="144"/>
      <c r="E33" s="144"/>
      <c r="F33" s="38">
        <v>2019</v>
      </c>
      <c r="G33" s="72">
        <f t="shared" si="2"/>
        <v>4748000</v>
      </c>
      <c r="H33" s="72">
        <f t="shared" si="2"/>
        <v>4415640</v>
      </c>
      <c r="I33" s="72">
        <f t="shared" si="2"/>
        <v>332360</v>
      </c>
      <c r="J33" s="38"/>
      <c r="K33" s="18" t="s">
        <v>84</v>
      </c>
      <c r="L33" s="38"/>
      <c r="M33" s="58"/>
    </row>
    <row r="34" spans="1:13" s="13" customFormat="1" ht="14.25" x14ac:dyDescent="0.2">
      <c r="A34" s="38"/>
      <c r="B34" s="144"/>
      <c r="C34" s="144"/>
      <c r="D34" s="144"/>
      <c r="E34" s="144"/>
      <c r="F34" s="38">
        <v>2020</v>
      </c>
      <c r="G34" s="72">
        <f t="shared" si="2"/>
        <v>3861000</v>
      </c>
      <c r="H34" s="72">
        <f t="shared" si="2"/>
        <v>0</v>
      </c>
      <c r="I34" s="72">
        <f t="shared" si="2"/>
        <v>3861000</v>
      </c>
      <c r="J34" s="38"/>
      <c r="K34" s="18" t="s">
        <v>84</v>
      </c>
      <c r="L34" s="38"/>
      <c r="M34" s="58"/>
    </row>
    <row r="35" spans="1:13" s="13" customFormat="1" ht="14.25" x14ac:dyDescent="0.2">
      <c r="A35" s="38"/>
      <c r="B35" s="144"/>
      <c r="C35" s="144"/>
      <c r="D35" s="144"/>
      <c r="E35" s="144"/>
      <c r="F35" s="38">
        <v>2021</v>
      </c>
      <c r="G35" s="72">
        <f>H35+I35</f>
        <v>3561000</v>
      </c>
      <c r="H35" s="72">
        <f t="shared" si="2"/>
        <v>0</v>
      </c>
      <c r="I35" s="72">
        <f>I23</f>
        <v>3561000</v>
      </c>
      <c r="J35" s="38"/>
      <c r="K35" s="18" t="s">
        <v>84</v>
      </c>
      <c r="L35" s="38"/>
      <c r="M35" s="58"/>
    </row>
    <row r="36" spans="1:13" s="13" customFormat="1" ht="14.25" x14ac:dyDescent="0.2">
      <c r="A36" s="38"/>
      <c r="B36" s="144"/>
      <c r="C36" s="144"/>
      <c r="D36" s="144"/>
      <c r="E36" s="144"/>
      <c r="F36" s="38">
        <v>2022</v>
      </c>
      <c r="G36" s="72">
        <f>G11+G24</f>
        <v>0</v>
      </c>
      <c r="H36" s="72">
        <f>H11+H24</f>
        <v>0</v>
      </c>
      <c r="I36" s="72">
        <v>0</v>
      </c>
      <c r="J36" s="38"/>
      <c r="K36" s="18" t="s">
        <v>84</v>
      </c>
      <c r="L36" s="38"/>
      <c r="M36" s="58"/>
    </row>
    <row r="37" spans="1:13" s="13" customFormat="1" ht="14.25" x14ac:dyDescent="0.2">
      <c r="A37" s="38"/>
      <c r="B37" s="144"/>
      <c r="C37" s="144"/>
      <c r="D37" s="144"/>
      <c r="E37" s="144"/>
      <c r="F37" s="38">
        <v>2023</v>
      </c>
      <c r="G37" s="72">
        <f t="shared" ref="G37:I39" si="3">G12+G25</f>
        <v>0</v>
      </c>
      <c r="H37" s="72">
        <f t="shared" si="3"/>
        <v>0</v>
      </c>
      <c r="I37" s="72">
        <f t="shared" si="3"/>
        <v>0</v>
      </c>
      <c r="J37" s="38"/>
      <c r="K37" s="18" t="s">
        <v>84</v>
      </c>
      <c r="L37" s="38"/>
      <c r="M37" s="58"/>
    </row>
    <row r="38" spans="1:13" s="13" customFormat="1" ht="14.25" x14ac:dyDescent="0.2">
      <c r="A38" s="38"/>
      <c r="B38" s="144"/>
      <c r="C38" s="144"/>
      <c r="D38" s="144"/>
      <c r="E38" s="144"/>
      <c r="F38" s="38">
        <v>2024</v>
      </c>
      <c r="G38" s="72">
        <f t="shared" si="3"/>
        <v>0</v>
      </c>
      <c r="H38" s="72">
        <f t="shared" si="3"/>
        <v>0</v>
      </c>
      <c r="I38" s="72">
        <f t="shared" si="3"/>
        <v>0</v>
      </c>
      <c r="J38" s="38"/>
      <c r="K38" s="18" t="s">
        <v>84</v>
      </c>
      <c r="L38" s="38"/>
      <c r="M38" s="58"/>
    </row>
    <row r="39" spans="1:13" s="13" customFormat="1" ht="14.25" x14ac:dyDescent="0.2">
      <c r="A39" s="38"/>
      <c r="B39" s="144"/>
      <c r="C39" s="144"/>
      <c r="D39" s="144"/>
      <c r="E39" s="144"/>
      <c r="F39" s="38">
        <v>2025</v>
      </c>
      <c r="G39" s="72">
        <f t="shared" si="3"/>
        <v>0</v>
      </c>
      <c r="H39" s="72">
        <f t="shared" si="3"/>
        <v>0</v>
      </c>
      <c r="I39" s="72">
        <f t="shared" si="3"/>
        <v>0</v>
      </c>
      <c r="J39" s="38"/>
      <c r="K39" s="18" t="s">
        <v>84</v>
      </c>
      <c r="L39" s="38"/>
      <c r="M39" s="58"/>
    </row>
    <row r="40" spans="1:13" x14ac:dyDescent="0.25">
      <c r="G40" s="66"/>
      <c r="H40" s="66"/>
      <c r="I40" s="66"/>
    </row>
    <row r="41" spans="1:13" x14ac:dyDescent="0.25">
      <c r="G41" s="66"/>
      <c r="H41" s="66"/>
      <c r="I41" s="66"/>
    </row>
    <row r="42" spans="1:13" x14ac:dyDescent="0.25">
      <c r="G42" s="66">
        <f>SUM(G28:G39)</f>
        <v>24014461.219999999</v>
      </c>
      <c r="H42" s="66">
        <f t="shared" ref="H42:I42" si="4">SUM(H28:H39)</f>
        <v>14811640</v>
      </c>
      <c r="I42" s="66">
        <f t="shared" si="4"/>
        <v>9202821.2199999988</v>
      </c>
    </row>
  </sheetData>
  <mergeCells count="30">
    <mergeCell ref="K15:M15"/>
    <mergeCell ref="B28:E39"/>
    <mergeCell ref="A1:M1"/>
    <mergeCell ref="B15:E15"/>
    <mergeCell ref="B16:E16"/>
    <mergeCell ref="B18:E18"/>
    <mergeCell ref="B19:E19"/>
    <mergeCell ref="B17:E17"/>
    <mergeCell ref="B2:E2"/>
    <mergeCell ref="B3:E3"/>
    <mergeCell ref="B5:E5"/>
    <mergeCell ref="B6:E6"/>
    <mergeCell ref="K2:M2"/>
    <mergeCell ref="B4:E4"/>
    <mergeCell ref="B7:E7"/>
    <mergeCell ref="B12:E12"/>
    <mergeCell ref="B25:E25"/>
    <mergeCell ref="B26:E26"/>
    <mergeCell ref="B27:E27"/>
    <mergeCell ref="B8:E8"/>
    <mergeCell ref="B9:E9"/>
    <mergeCell ref="B10:E10"/>
    <mergeCell ref="B11:E11"/>
    <mergeCell ref="B23:E23"/>
    <mergeCell ref="B24:E24"/>
    <mergeCell ref="B14:E14"/>
    <mergeCell ref="B22:E22"/>
    <mergeCell ref="B20:E20"/>
    <mergeCell ref="B21:E21"/>
    <mergeCell ref="B13:E13"/>
  </mergeCells>
  <pageMargins left="0.70866141732283472" right="0.70866141732283472" top="0.74803149606299213" bottom="0.74803149606299213" header="0.31496062992125984" footer="0.31496062992125984"/>
  <pageSetup paperSize="9" scale="51"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106"/>
  <sheetViews>
    <sheetView topLeftCell="A76" zoomScaleNormal="100" workbookViewId="0">
      <selection activeCell="I88" sqref="I88"/>
    </sheetView>
  </sheetViews>
  <sheetFormatPr defaultRowHeight="15" x14ac:dyDescent="0.25"/>
  <cols>
    <col min="5" max="5" width="10.85546875" customWidth="1"/>
    <col min="7" max="7" width="13.7109375" style="66" customWidth="1"/>
    <col min="8" max="8" width="12.42578125" style="66" customWidth="1"/>
    <col min="9" max="9" width="14.42578125" style="66" customWidth="1"/>
    <col min="10" max="10" width="9.140625" style="62"/>
  </cols>
  <sheetData>
    <row r="1" spans="1:13" s="1" customFormat="1" x14ac:dyDescent="0.25">
      <c r="A1" s="140" t="s">
        <v>107</v>
      </c>
      <c r="B1" s="141"/>
      <c r="C1" s="141"/>
      <c r="D1" s="141"/>
      <c r="E1" s="141"/>
      <c r="F1" s="141"/>
      <c r="G1" s="141"/>
      <c r="H1" s="141"/>
      <c r="I1" s="141"/>
      <c r="J1" s="141"/>
      <c r="K1" s="141"/>
      <c r="L1" s="141"/>
      <c r="M1" s="142"/>
    </row>
    <row r="2" spans="1:13" s="1" customFormat="1" ht="83.25" customHeight="1" x14ac:dyDescent="0.25">
      <c r="A2" s="38" t="s">
        <v>52</v>
      </c>
      <c r="B2" s="143" t="s">
        <v>53</v>
      </c>
      <c r="C2" s="144"/>
      <c r="D2" s="144"/>
      <c r="E2" s="144"/>
      <c r="F2" s="19"/>
      <c r="G2" s="64"/>
      <c r="H2" s="64"/>
      <c r="I2" s="64"/>
      <c r="J2" s="59"/>
      <c r="K2" s="168"/>
      <c r="L2" s="169"/>
      <c r="M2" s="170"/>
    </row>
    <row r="3" spans="1:13" s="1" customFormat="1" x14ac:dyDescent="0.25">
      <c r="A3" s="18"/>
      <c r="B3" s="165"/>
      <c r="C3" s="165"/>
      <c r="D3" s="165"/>
      <c r="E3" s="165"/>
      <c r="F3" s="19">
        <v>2014</v>
      </c>
      <c r="G3" s="64">
        <f>H3+I3+J3</f>
        <v>734550</v>
      </c>
      <c r="H3" s="64">
        <v>661095</v>
      </c>
      <c r="I3" s="64">
        <v>73455</v>
      </c>
      <c r="J3" s="59"/>
      <c r="K3" s="18" t="s">
        <v>84</v>
      </c>
      <c r="L3" s="18"/>
      <c r="M3" s="2"/>
    </row>
    <row r="4" spans="1:13" s="1" customFormat="1" ht="62.25" customHeight="1" x14ac:dyDescent="0.25">
      <c r="A4" s="18"/>
      <c r="B4" s="164" t="s">
        <v>54</v>
      </c>
      <c r="C4" s="165"/>
      <c r="D4" s="165"/>
      <c r="E4" s="165"/>
      <c r="F4" s="19">
        <v>2015</v>
      </c>
      <c r="G4" s="64">
        <f t="shared" ref="G4:G26" si="0">H4+I4+J4</f>
        <v>1691500</v>
      </c>
      <c r="H4" s="64">
        <v>0</v>
      </c>
      <c r="I4" s="64">
        <v>1691500</v>
      </c>
      <c r="J4" s="59"/>
      <c r="K4" s="18" t="s">
        <v>84</v>
      </c>
      <c r="L4" s="18"/>
      <c r="M4" s="2"/>
    </row>
    <row r="5" spans="1:13" s="1" customFormat="1" ht="79.5" customHeight="1" x14ac:dyDescent="0.25">
      <c r="A5" s="18"/>
      <c r="B5" s="164" t="s">
        <v>57</v>
      </c>
      <c r="C5" s="165"/>
      <c r="D5" s="165"/>
      <c r="E5" s="165"/>
      <c r="F5" s="19">
        <v>2016</v>
      </c>
      <c r="G5" s="64">
        <f t="shared" si="0"/>
        <v>2993731.72</v>
      </c>
      <c r="H5" s="64">
        <v>0</v>
      </c>
      <c r="I5" s="64">
        <f>2988831.72+4900</f>
        <v>2993731.72</v>
      </c>
      <c r="J5" s="59"/>
      <c r="K5" s="18" t="s">
        <v>84</v>
      </c>
      <c r="L5" s="18"/>
      <c r="M5" s="2"/>
    </row>
    <row r="6" spans="1:13" s="1" customFormat="1" ht="58.5" customHeight="1" x14ac:dyDescent="0.25">
      <c r="A6" s="18"/>
      <c r="B6" s="164" t="s">
        <v>58</v>
      </c>
      <c r="C6" s="165"/>
      <c r="D6" s="165"/>
      <c r="E6" s="165"/>
      <c r="F6" s="19">
        <v>2017</v>
      </c>
      <c r="G6" s="64">
        <f t="shared" si="0"/>
        <v>3337730</v>
      </c>
      <c r="H6" s="64">
        <v>0</v>
      </c>
      <c r="I6" s="64">
        <v>3337730</v>
      </c>
      <c r="J6" s="59"/>
      <c r="K6" s="18" t="s">
        <v>84</v>
      </c>
      <c r="L6" s="18"/>
      <c r="M6" s="2"/>
    </row>
    <row r="7" spans="1:13" s="1" customFormat="1" ht="81" customHeight="1" x14ac:dyDescent="0.25">
      <c r="A7" s="18"/>
      <c r="B7" s="164" t="s">
        <v>59</v>
      </c>
      <c r="C7" s="165"/>
      <c r="D7" s="165"/>
      <c r="E7" s="165"/>
      <c r="F7" s="19">
        <v>2018</v>
      </c>
      <c r="G7" s="64">
        <f t="shared" si="0"/>
        <v>3232300</v>
      </c>
      <c r="H7" s="64">
        <v>0</v>
      </c>
      <c r="I7" s="64">
        <f>1232300+2000000</f>
        <v>3232300</v>
      </c>
      <c r="J7" s="59"/>
      <c r="K7" s="18" t="s">
        <v>84</v>
      </c>
      <c r="L7" s="18"/>
      <c r="M7" s="2"/>
    </row>
    <row r="8" spans="1:13" s="1" customFormat="1" ht="23.25" customHeight="1" x14ac:dyDescent="0.25">
      <c r="A8" s="18"/>
      <c r="B8" s="164" t="s">
        <v>108</v>
      </c>
      <c r="C8" s="165"/>
      <c r="D8" s="165"/>
      <c r="E8" s="165"/>
      <c r="F8" s="19">
        <v>2019</v>
      </c>
      <c r="G8" s="64">
        <f t="shared" si="0"/>
        <v>6621144.0800000001</v>
      </c>
      <c r="H8" s="64">
        <v>0</v>
      </c>
      <c r="I8" s="64">
        <f>6231144.08+390000</f>
        <v>6621144.0800000001</v>
      </c>
      <c r="J8" s="59"/>
      <c r="K8" s="18" t="s">
        <v>84</v>
      </c>
      <c r="L8" s="18"/>
      <c r="M8" s="2"/>
    </row>
    <row r="9" spans="1:13" s="85" customFormat="1" ht="41.25" customHeight="1" x14ac:dyDescent="0.25">
      <c r="A9" s="81"/>
      <c r="B9" s="166" t="s">
        <v>56</v>
      </c>
      <c r="C9" s="167"/>
      <c r="D9" s="167"/>
      <c r="E9" s="167"/>
      <c r="F9" s="82">
        <v>2020</v>
      </c>
      <c r="G9" s="95">
        <f t="shared" si="0"/>
        <v>7598031.6299999999</v>
      </c>
      <c r="H9" s="95">
        <v>0</v>
      </c>
      <c r="I9" s="95">
        <v>7598031.6299999999</v>
      </c>
      <c r="J9" s="93"/>
      <c r="K9" s="81" t="s">
        <v>84</v>
      </c>
      <c r="L9" s="81"/>
      <c r="M9" s="94"/>
    </row>
    <row r="10" spans="1:13" s="1" customFormat="1" ht="28.5" customHeight="1" x14ac:dyDescent="0.25">
      <c r="A10" s="18"/>
      <c r="B10" s="164" t="s">
        <v>113</v>
      </c>
      <c r="C10" s="165"/>
      <c r="D10" s="165"/>
      <c r="E10" s="165"/>
      <c r="F10" s="19">
        <v>2021</v>
      </c>
      <c r="G10" s="64">
        <f t="shared" si="0"/>
        <v>8300445.6200000001</v>
      </c>
      <c r="H10" s="64">
        <v>0</v>
      </c>
      <c r="I10" s="64">
        <f>8281245.62+19200</f>
        <v>8300445.6200000001</v>
      </c>
      <c r="J10" s="59"/>
      <c r="K10" s="18" t="s">
        <v>84</v>
      </c>
      <c r="L10" s="18"/>
      <c r="M10" s="2"/>
    </row>
    <row r="11" spans="1:13" s="1" customFormat="1" x14ac:dyDescent="0.25">
      <c r="A11" s="18"/>
      <c r="B11" s="165" t="s">
        <v>110</v>
      </c>
      <c r="C11" s="165"/>
      <c r="D11" s="165"/>
      <c r="E11" s="165"/>
      <c r="F11" s="19">
        <v>2022</v>
      </c>
      <c r="G11" s="64">
        <f t="shared" si="0"/>
        <v>982130</v>
      </c>
      <c r="H11" s="64">
        <v>0</v>
      </c>
      <c r="I11" s="64">
        <v>982130</v>
      </c>
      <c r="J11" s="59"/>
      <c r="K11" s="18" t="s">
        <v>84</v>
      </c>
      <c r="L11" s="18"/>
      <c r="M11" s="2"/>
    </row>
    <row r="12" spans="1:13" s="1" customFormat="1" x14ac:dyDescent="0.25">
      <c r="A12" s="18"/>
      <c r="B12" s="165" t="s">
        <v>110</v>
      </c>
      <c r="C12" s="165"/>
      <c r="D12" s="165"/>
      <c r="E12" s="165"/>
      <c r="F12" s="19">
        <v>2023</v>
      </c>
      <c r="G12" s="64">
        <f t="shared" si="0"/>
        <v>982130</v>
      </c>
      <c r="H12" s="64">
        <v>0</v>
      </c>
      <c r="I12" s="64">
        <v>982130</v>
      </c>
      <c r="J12" s="59"/>
      <c r="K12" s="18" t="s">
        <v>84</v>
      </c>
      <c r="L12" s="18"/>
      <c r="M12" s="2"/>
    </row>
    <row r="13" spans="1:13" s="1" customFormat="1" x14ac:dyDescent="0.25">
      <c r="A13" s="18"/>
      <c r="B13" s="133"/>
      <c r="C13" s="126"/>
      <c r="D13" s="126"/>
      <c r="E13" s="127"/>
      <c r="F13" s="19">
        <v>2024</v>
      </c>
      <c r="G13" s="64">
        <f t="shared" si="0"/>
        <v>0</v>
      </c>
      <c r="H13" s="64">
        <v>0</v>
      </c>
      <c r="I13" s="64">
        <v>0</v>
      </c>
      <c r="J13" s="59"/>
      <c r="K13" s="18" t="s">
        <v>84</v>
      </c>
      <c r="L13" s="18"/>
      <c r="M13" s="2"/>
    </row>
    <row r="14" spans="1:13" s="1" customFormat="1" x14ac:dyDescent="0.25">
      <c r="A14" s="18"/>
      <c r="B14" s="133"/>
      <c r="C14" s="126"/>
      <c r="D14" s="126"/>
      <c r="E14" s="127"/>
      <c r="F14" s="19">
        <v>2025</v>
      </c>
      <c r="G14" s="64">
        <f t="shared" si="0"/>
        <v>0</v>
      </c>
      <c r="H14" s="64">
        <v>0</v>
      </c>
      <c r="I14" s="64">
        <v>0</v>
      </c>
      <c r="J14" s="59"/>
      <c r="K14" s="18" t="s">
        <v>84</v>
      </c>
      <c r="L14" s="18"/>
      <c r="M14" s="2"/>
    </row>
    <row r="15" spans="1:13" s="1" customFormat="1" x14ac:dyDescent="0.25">
      <c r="A15" s="8" t="s">
        <v>60</v>
      </c>
      <c r="B15" s="144" t="s">
        <v>61</v>
      </c>
      <c r="C15" s="144"/>
      <c r="D15" s="144"/>
      <c r="E15" s="144"/>
      <c r="F15" s="19">
        <v>2014</v>
      </c>
      <c r="G15" s="64">
        <f t="shared" si="0"/>
        <v>0</v>
      </c>
      <c r="H15" s="64">
        <v>0</v>
      </c>
      <c r="I15" s="64">
        <v>0</v>
      </c>
      <c r="J15" s="59"/>
      <c r="K15" s="168"/>
      <c r="L15" s="169"/>
      <c r="M15" s="170"/>
    </row>
    <row r="16" spans="1:13" s="1" customFormat="1" x14ac:dyDescent="0.25">
      <c r="A16" s="18"/>
      <c r="B16" s="165"/>
      <c r="C16" s="165"/>
      <c r="D16" s="165"/>
      <c r="E16" s="165"/>
      <c r="F16" s="19">
        <v>2015</v>
      </c>
      <c r="G16" s="64">
        <f t="shared" si="0"/>
        <v>0</v>
      </c>
      <c r="H16" s="64">
        <v>0</v>
      </c>
      <c r="I16" s="64">
        <v>0</v>
      </c>
      <c r="J16" s="59"/>
      <c r="K16" s="18" t="s">
        <v>84</v>
      </c>
      <c r="L16" s="18"/>
      <c r="M16" s="2"/>
    </row>
    <row r="17" spans="1:13" s="1" customFormat="1" x14ac:dyDescent="0.25">
      <c r="A17" s="10"/>
      <c r="B17" s="171"/>
      <c r="C17" s="171"/>
      <c r="D17" s="171"/>
      <c r="E17" s="171"/>
      <c r="F17" s="48">
        <v>2016</v>
      </c>
      <c r="G17" s="64">
        <f t="shared" si="0"/>
        <v>0</v>
      </c>
      <c r="H17" s="64">
        <v>0</v>
      </c>
      <c r="I17" s="64">
        <v>0</v>
      </c>
      <c r="J17" s="63"/>
      <c r="K17" s="18" t="s">
        <v>84</v>
      </c>
      <c r="L17" s="10"/>
      <c r="M17" s="2"/>
    </row>
    <row r="18" spans="1:13" s="1" customFormat="1" x14ac:dyDescent="0.25">
      <c r="A18" s="10"/>
      <c r="B18" s="171"/>
      <c r="C18" s="171"/>
      <c r="D18" s="171"/>
      <c r="E18" s="171"/>
      <c r="F18" s="48">
        <v>2017</v>
      </c>
      <c r="G18" s="64">
        <f t="shared" si="0"/>
        <v>0</v>
      </c>
      <c r="H18" s="64">
        <v>0</v>
      </c>
      <c r="I18" s="64">
        <v>0</v>
      </c>
      <c r="J18" s="63"/>
      <c r="K18" s="18" t="s">
        <v>84</v>
      </c>
      <c r="L18" s="10"/>
      <c r="M18" s="2"/>
    </row>
    <row r="19" spans="1:13" s="1" customFormat="1" x14ac:dyDescent="0.25">
      <c r="A19" s="18"/>
      <c r="B19" s="165"/>
      <c r="C19" s="165"/>
      <c r="D19" s="165"/>
      <c r="E19" s="165"/>
      <c r="F19" s="19">
        <v>2018</v>
      </c>
      <c r="G19" s="64">
        <f t="shared" si="0"/>
        <v>0</v>
      </c>
      <c r="H19" s="64">
        <v>0</v>
      </c>
      <c r="I19" s="64">
        <v>0</v>
      </c>
      <c r="J19" s="59"/>
      <c r="K19" s="18" t="s">
        <v>84</v>
      </c>
      <c r="L19" s="10"/>
      <c r="M19" s="2"/>
    </row>
    <row r="20" spans="1:13" s="1" customFormat="1" x14ac:dyDescent="0.25">
      <c r="A20" s="18"/>
      <c r="B20" s="165"/>
      <c r="C20" s="165"/>
      <c r="D20" s="165"/>
      <c r="E20" s="165"/>
      <c r="F20" s="19">
        <v>2019</v>
      </c>
      <c r="G20" s="64">
        <f t="shared" si="0"/>
        <v>0</v>
      </c>
      <c r="H20" s="64">
        <v>0</v>
      </c>
      <c r="I20" s="64">
        <v>0</v>
      </c>
      <c r="J20" s="59"/>
      <c r="K20" s="18" t="s">
        <v>84</v>
      </c>
      <c r="L20" s="2"/>
      <c r="M20" s="2"/>
    </row>
    <row r="21" spans="1:13" s="1" customFormat="1" x14ac:dyDescent="0.25">
      <c r="A21" s="18"/>
      <c r="B21" s="165"/>
      <c r="C21" s="165"/>
      <c r="D21" s="165"/>
      <c r="E21" s="165"/>
      <c r="F21" s="19">
        <v>2020</v>
      </c>
      <c r="G21" s="64">
        <f t="shared" si="0"/>
        <v>0</v>
      </c>
      <c r="H21" s="64">
        <v>0</v>
      </c>
      <c r="I21" s="64">
        <v>0</v>
      </c>
      <c r="J21" s="59"/>
      <c r="K21" s="18" t="s">
        <v>84</v>
      </c>
      <c r="L21" s="2"/>
      <c r="M21" s="2"/>
    </row>
    <row r="22" spans="1:13" s="1" customFormat="1" x14ac:dyDescent="0.25">
      <c r="A22" s="18"/>
      <c r="B22" s="165"/>
      <c r="C22" s="165"/>
      <c r="D22" s="165"/>
      <c r="E22" s="165"/>
      <c r="F22" s="19">
        <v>2021</v>
      </c>
      <c r="G22" s="64">
        <f t="shared" si="0"/>
        <v>0</v>
      </c>
      <c r="H22" s="64">
        <v>0</v>
      </c>
      <c r="I22" s="64">
        <v>0</v>
      </c>
      <c r="J22" s="59"/>
      <c r="K22" s="18" t="s">
        <v>84</v>
      </c>
      <c r="L22" s="2"/>
      <c r="M22" s="2"/>
    </row>
    <row r="23" spans="1:13" s="1" customFormat="1" x14ac:dyDescent="0.25">
      <c r="A23" s="18"/>
      <c r="B23" s="165"/>
      <c r="C23" s="165"/>
      <c r="D23" s="165"/>
      <c r="E23" s="165"/>
      <c r="F23" s="19">
        <v>2022</v>
      </c>
      <c r="G23" s="64">
        <f t="shared" si="0"/>
        <v>0</v>
      </c>
      <c r="H23" s="64">
        <v>0</v>
      </c>
      <c r="I23" s="64">
        <v>0</v>
      </c>
      <c r="J23" s="59"/>
      <c r="K23" s="18" t="s">
        <v>84</v>
      </c>
      <c r="L23" s="2"/>
      <c r="M23" s="2"/>
    </row>
    <row r="24" spans="1:13" s="1" customFormat="1" x14ac:dyDescent="0.25">
      <c r="A24" s="18"/>
      <c r="B24" s="133"/>
      <c r="C24" s="126"/>
      <c r="D24" s="126"/>
      <c r="E24" s="127"/>
      <c r="F24" s="19">
        <v>2023</v>
      </c>
      <c r="G24" s="64">
        <f t="shared" si="0"/>
        <v>0</v>
      </c>
      <c r="H24" s="64">
        <v>0</v>
      </c>
      <c r="I24" s="64">
        <v>0</v>
      </c>
      <c r="J24" s="59"/>
      <c r="K24" s="18" t="s">
        <v>84</v>
      </c>
      <c r="L24" s="2"/>
      <c r="M24" s="2"/>
    </row>
    <row r="25" spans="1:13" s="1" customFormat="1" x14ac:dyDescent="0.25">
      <c r="A25" s="18"/>
      <c r="B25" s="133"/>
      <c r="C25" s="126"/>
      <c r="D25" s="126"/>
      <c r="E25" s="127"/>
      <c r="F25" s="19">
        <v>2024</v>
      </c>
      <c r="G25" s="64">
        <f t="shared" si="0"/>
        <v>0</v>
      </c>
      <c r="H25" s="64">
        <v>0</v>
      </c>
      <c r="I25" s="64">
        <v>0</v>
      </c>
      <c r="J25" s="59"/>
      <c r="K25" s="18" t="s">
        <v>84</v>
      </c>
      <c r="L25" s="2"/>
      <c r="M25" s="2"/>
    </row>
    <row r="26" spans="1:13" s="1" customFormat="1" x14ac:dyDescent="0.25">
      <c r="A26" s="18"/>
      <c r="B26" s="133"/>
      <c r="C26" s="126"/>
      <c r="D26" s="126"/>
      <c r="E26" s="127"/>
      <c r="F26" s="19">
        <v>2025</v>
      </c>
      <c r="G26" s="64">
        <f t="shared" si="0"/>
        <v>0</v>
      </c>
      <c r="H26" s="64">
        <v>0</v>
      </c>
      <c r="I26" s="64">
        <v>0</v>
      </c>
      <c r="J26" s="59"/>
      <c r="K26" s="18" t="s">
        <v>84</v>
      </c>
      <c r="L26" s="2"/>
      <c r="M26" s="2"/>
    </row>
    <row r="27" spans="1:13" s="1" customFormat="1" ht="33" customHeight="1" x14ac:dyDescent="0.25">
      <c r="A27" s="12" t="s">
        <v>62</v>
      </c>
      <c r="B27" s="172" t="s">
        <v>63</v>
      </c>
      <c r="C27" s="173"/>
      <c r="D27" s="173"/>
      <c r="E27" s="173"/>
      <c r="F27" s="19"/>
      <c r="G27" s="64"/>
      <c r="H27" s="64"/>
      <c r="I27" s="64"/>
      <c r="J27" s="59"/>
      <c r="K27" s="168"/>
      <c r="L27" s="169"/>
      <c r="M27" s="170"/>
    </row>
    <row r="28" spans="1:13" s="1" customFormat="1" ht="20.25" customHeight="1" x14ac:dyDescent="0.25">
      <c r="A28" s="18"/>
      <c r="B28" s="164"/>
      <c r="C28" s="165"/>
      <c r="D28" s="165"/>
      <c r="E28" s="165"/>
      <c r="F28" s="19">
        <v>2014</v>
      </c>
      <c r="G28" s="64">
        <f>H28+I28+J28</f>
        <v>300000</v>
      </c>
      <c r="H28" s="64">
        <v>270000</v>
      </c>
      <c r="I28" s="64">
        <v>30000</v>
      </c>
      <c r="J28" s="59"/>
      <c r="K28" s="18" t="s">
        <v>84</v>
      </c>
      <c r="L28" s="2"/>
      <c r="M28" s="2"/>
    </row>
    <row r="29" spans="1:13" s="1" customFormat="1" x14ac:dyDescent="0.25">
      <c r="A29" s="18"/>
      <c r="B29" s="165"/>
      <c r="C29" s="165"/>
      <c r="D29" s="165"/>
      <c r="E29" s="165"/>
      <c r="F29" s="19">
        <v>2015</v>
      </c>
      <c r="G29" s="64">
        <f t="shared" ref="G29:G39" si="1">H29+I29+J29</f>
        <v>29219.02</v>
      </c>
      <c r="H29" s="64">
        <v>0</v>
      </c>
      <c r="I29" s="64">
        <v>29219.02</v>
      </c>
      <c r="J29" s="59"/>
      <c r="K29" s="18" t="s">
        <v>84</v>
      </c>
      <c r="L29" s="2"/>
      <c r="M29" s="2"/>
    </row>
    <row r="30" spans="1:13" s="1" customFormat="1" ht="86.25" customHeight="1" x14ac:dyDescent="0.25">
      <c r="A30" s="18"/>
      <c r="B30" s="164" t="s">
        <v>67</v>
      </c>
      <c r="C30" s="165"/>
      <c r="D30" s="165"/>
      <c r="E30" s="165"/>
      <c r="F30" s="19">
        <v>2016</v>
      </c>
      <c r="G30" s="64">
        <f t="shared" si="1"/>
        <v>342400</v>
      </c>
      <c r="H30" s="64">
        <v>0</v>
      </c>
      <c r="I30" s="64">
        <f>50000+292400</f>
        <v>342400</v>
      </c>
      <c r="J30" s="59"/>
      <c r="K30" s="18" t="s">
        <v>84</v>
      </c>
      <c r="L30" s="2"/>
      <c r="M30" s="2"/>
    </row>
    <row r="31" spans="1:13" s="1" customFormat="1" x14ac:dyDescent="0.25">
      <c r="A31" s="18"/>
      <c r="B31" s="165" t="s">
        <v>64</v>
      </c>
      <c r="C31" s="165"/>
      <c r="D31" s="165"/>
      <c r="E31" s="165"/>
      <c r="F31" s="19">
        <v>2017</v>
      </c>
      <c r="G31" s="64">
        <f t="shared" si="1"/>
        <v>600000</v>
      </c>
      <c r="H31" s="64">
        <v>0</v>
      </c>
      <c r="I31" s="64">
        <v>600000</v>
      </c>
      <c r="J31" s="59"/>
      <c r="K31" s="18" t="s">
        <v>84</v>
      </c>
      <c r="L31" s="2"/>
      <c r="M31" s="2"/>
    </row>
    <row r="32" spans="1:13" s="1" customFormat="1" ht="30" customHeight="1" x14ac:dyDescent="0.25">
      <c r="A32" s="18"/>
      <c r="B32" s="164" t="s">
        <v>66</v>
      </c>
      <c r="C32" s="165"/>
      <c r="D32" s="165"/>
      <c r="E32" s="165"/>
      <c r="F32" s="19">
        <v>2018</v>
      </c>
      <c r="G32" s="64">
        <f t="shared" si="1"/>
        <v>2300000</v>
      </c>
      <c r="H32" s="64">
        <v>0</v>
      </c>
      <c r="I32" s="64">
        <f>300000+2000000</f>
        <v>2300000</v>
      </c>
      <c r="J32" s="59"/>
      <c r="K32" s="18" t="s">
        <v>84</v>
      </c>
      <c r="L32" s="2"/>
      <c r="M32" s="2"/>
    </row>
    <row r="33" spans="1:13" s="1" customFormat="1" x14ac:dyDescent="0.25">
      <c r="A33" s="18"/>
      <c r="B33" s="165" t="s">
        <v>65</v>
      </c>
      <c r="C33" s="165"/>
      <c r="D33" s="165"/>
      <c r="E33" s="165"/>
      <c r="F33" s="19">
        <v>2019</v>
      </c>
      <c r="G33" s="64">
        <f t="shared" si="1"/>
        <v>450000</v>
      </c>
      <c r="H33" s="64">
        <v>0</v>
      </c>
      <c r="I33" s="64">
        <v>450000</v>
      </c>
      <c r="J33" s="59"/>
      <c r="K33" s="18" t="s">
        <v>84</v>
      </c>
      <c r="L33" s="2"/>
      <c r="M33" s="2"/>
    </row>
    <row r="34" spans="1:13" s="85" customFormat="1" x14ac:dyDescent="0.25">
      <c r="A34" s="81"/>
      <c r="B34" s="167" t="s">
        <v>99</v>
      </c>
      <c r="C34" s="167"/>
      <c r="D34" s="167"/>
      <c r="E34" s="167"/>
      <c r="F34" s="82">
        <v>2020</v>
      </c>
      <c r="G34" s="95">
        <f t="shared" si="1"/>
        <v>450000</v>
      </c>
      <c r="H34" s="95">
        <v>0</v>
      </c>
      <c r="I34" s="95">
        <f>450000</f>
        <v>450000</v>
      </c>
      <c r="J34" s="93"/>
      <c r="K34" s="81" t="s">
        <v>84</v>
      </c>
      <c r="L34" s="94"/>
      <c r="M34" s="94"/>
    </row>
    <row r="35" spans="1:13" s="1" customFormat="1" x14ac:dyDescent="0.25">
      <c r="A35" s="18"/>
      <c r="B35" s="165" t="s">
        <v>99</v>
      </c>
      <c r="C35" s="165"/>
      <c r="D35" s="165"/>
      <c r="E35" s="165"/>
      <c r="F35" s="19">
        <v>2021</v>
      </c>
      <c r="G35" s="64">
        <f>H35+I35+J35</f>
        <v>0</v>
      </c>
      <c r="H35" s="64">
        <v>0</v>
      </c>
      <c r="I35" s="64">
        <v>0</v>
      </c>
      <c r="J35" s="59"/>
      <c r="K35" s="18" t="s">
        <v>84</v>
      </c>
      <c r="L35" s="2"/>
      <c r="M35" s="2"/>
    </row>
    <row r="36" spans="1:13" s="1" customFormat="1" x14ac:dyDescent="0.25">
      <c r="A36" s="18"/>
      <c r="B36" s="165" t="s">
        <v>65</v>
      </c>
      <c r="C36" s="165"/>
      <c r="D36" s="165"/>
      <c r="E36" s="165"/>
      <c r="F36" s="19">
        <v>2022</v>
      </c>
      <c r="G36" s="64">
        <f t="shared" si="1"/>
        <v>600000</v>
      </c>
      <c r="H36" s="64">
        <v>0</v>
      </c>
      <c r="I36" s="64">
        <v>600000</v>
      </c>
      <c r="J36" s="59"/>
      <c r="K36" s="18" t="s">
        <v>84</v>
      </c>
      <c r="L36" s="2"/>
      <c r="M36" s="2"/>
    </row>
    <row r="37" spans="1:13" s="1" customFormat="1" x14ac:dyDescent="0.25">
      <c r="A37" s="18"/>
      <c r="B37" s="133"/>
      <c r="C37" s="126"/>
      <c r="D37" s="126"/>
      <c r="E37" s="127"/>
      <c r="F37" s="19">
        <v>2023</v>
      </c>
      <c r="G37" s="64">
        <f t="shared" si="1"/>
        <v>600000</v>
      </c>
      <c r="H37" s="64">
        <v>0</v>
      </c>
      <c r="I37" s="64">
        <v>600000</v>
      </c>
      <c r="J37" s="59"/>
      <c r="K37" s="18" t="s">
        <v>84</v>
      </c>
      <c r="L37" s="2"/>
      <c r="M37" s="2"/>
    </row>
    <row r="38" spans="1:13" s="1" customFormat="1" x14ac:dyDescent="0.25">
      <c r="A38" s="18"/>
      <c r="B38" s="133"/>
      <c r="C38" s="126"/>
      <c r="D38" s="126"/>
      <c r="E38" s="127"/>
      <c r="F38" s="19">
        <v>2024</v>
      </c>
      <c r="G38" s="64">
        <f t="shared" si="1"/>
        <v>0</v>
      </c>
      <c r="H38" s="64">
        <v>0</v>
      </c>
      <c r="I38" s="64">
        <v>0</v>
      </c>
      <c r="J38" s="59"/>
      <c r="K38" s="18" t="s">
        <v>84</v>
      </c>
      <c r="L38" s="2"/>
      <c r="M38" s="2"/>
    </row>
    <row r="39" spans="1:13" s="1" customFormat="1" x14ac:dyDescent="0.25">
      <c r="A39" s="18"/>
      <c r="B39" s="133"/>
      <c r="C39" s="126"/>
      <c r="D39" s="126"/>
      <c r="E39" s="127"/>
      <c r="F39" s="19">
        <v>2025</v>
      </c>
      <c r="G39" s="64">
        <f t="shared" si="1"/>
        <v>0</v>
      </c>
      <c r="H39" s="64">
        <v>0</v>
      </c>
      <c r="I39" s="64">
        <v>0</v>
      </c>
      <c r="J39" s="59"/>
      <c r="K39" s="18" t="s">
        <v>84</v>
      </c>
      <c r="L39" s="2"/>
      <c r="M39" s="2"/>
    </row>
    <row r="40" spans="1:13" s="1" customFormat="1" ht="30.75" customHeight="1" x14ac:dyDescent="0.25">
      <c r="A40" s="4" t="s">
        <v>68</v>
      </c>
      <c r="B40" s="172" t="s">
        <v>69</v>
      </c>
      <c r="C40" s="173"/>
      <c r="D40" s="173"/>
      <c r="E40" s="173"/>
      <c r="F40" s="19"/>
      <c r="G40" s="64"/>
      <c r="H40" s="64"/>
      <c r="I40" s="64"/>
      <c r="J40" s="59"/>
      <c r="K40" s="168"/>
      <c r="L40" s="169"/>
      <c r="M40" s="170"/>
    </row>
    <row r="41" spans="1:13" s="1" customFormat="1" x14ac:dyDescent="0.25">
      <c r="A41" s="10"/>
      <c r="B41" s="171"/>
      <c r="C41" s="171"/>
      <c r="D41" s="171"/>
      <c r="E41" s="171"/>
      <c r="F41" s="19">
        <v>2014</v>
      </c>
      <c r="G41" s="64">
        <f>H41+I41+J41</f>
        <v>3000000</v>
      </c>
      <c r="H41" s="64">
        <v>2700000</v>
      </c>
      <c r="I41" s="64">
        <v>300000</v>
      </c>
      <c r="J41" s="59"/>
      <c r="K41" s="18" t="s">
        <v>84</v>
      </c>
      <c r="L41" s="2"/>
      <c r="M41" s="2"/>
    </row>
    <row r="42" spans="1:13" s="1" customFormat="1" x14ac:dyDescent="0.25">
      <c r="A42" s="18"/>
      <c r="B42" s="165"/>
      <c r="C42" s="165"/>
      <c r="D42" s="165"/>
      <c r="E42" s="165"/>
      <c r="F42" s="19">
        <v>2015</v>
      </c>
      <c r="G42" s="64">
        <f t="shared" ref="G42:G52" si="2">H42+I42+J42</f>
        <v>0</v>
      </c>
      <c r="H42" s="64">
        <v>0</v>
      </c>
      <c r="I42" s="64">
        <v>0</v>
      </c>
      <c r="J42" s="59"/>
      <c r="K42" s="18" t="s">
        <v>84</v>
      </c>
      <c r="L42" s="2"/>
      <c r="M42" s="2"/>
    </row>
    <row r="43" spans="1:13" s="1" customFormat="1" ht="194.25" customHeight="1" x14ac:dyDescent="0.25">
      <c r="A43" s="18"/>
      <c r="B43" s="164" t="s">
        <v>70</v>
      </c>
      <c r="C43" s="165"/>
      <c r="D43" s="165"/>
      <c r="E43" s="165"/>
      <c r="F43" s="19">
        <v>2016</v>
      </c>
      <c r="G43" s="64">
        <f t="shared" si="2"/>
        <v>27138800</v>
      </c>
      <c r="H43" s="64"/>
      <c r="I43" s="64">
        <f>5350000+300000+9670000+4500000+5500000+68800+100000+700000+200000+100000+200000+100000+50000+300000</f>
        <v>27138800</v>
      </c>
      <c r="J43" s="59"/>
      <c r="K43" s="18" t="s">
        <v>84</v>
      </c>
      <c r="L43" s="2"/>
      <c r="M43" s="2"/>
    </row>
    <row r="44" spans="1:13" s="1" customFormat="1" ht="113.25" customHeight="1" x14ac:dyDescent="0.25">
      <c r="A44" s="18"/>
      <c r="B44" s="164" t="s">
        <v>71</v>
      </c>
      <c r="C44" s="165"/>
      <c r="D44" s="165"/>
      <c r="E44" s="165"/>
      <c r="F44" s="19">
        <v>2017</v>
      </c>
      <c r="G44" s="64">
        <f t="shared" si="2"/>
        <v>6900000</v>
      </c>
      <c r="H44" s="64"/>
      <c r="I44" s="64">
        <f>1050000+5000000+400000+450000</f>
        <v>6900000</v>
      </c>
      <c r="J44" s="59"/>
      <c r="K44" s="18" t="s">
        <v>84</v>
      </c>
      <c r="L44" s="2"/>
      <c r="M44" s="2"/>
    </row>
    <row r="45" spans="1:13" s="1" customFormat="1" ht="88.5" customHeight="1" x14ac:dyDescent="0.25">
      <c r="A45" s="18"/>
      <c r="B45" s="164" t="s">
        <v>72</v>
      </c>
      <c r="C45" s="165"/>
      <c r="D45" s="165"/>
      <c r="E45" s="165"/>
      <c r="F45" s="19">
        <v>2018</v>
      </c>
      <c r="G45" s="64">
        <f t="shared" si="2"/>
        <v>15227000</v>
      </c>
      <c r="H45" s="64"/>
      <c r="I45" s="64">
        <f>5200000+620000+9407000</f>
        <v>15227000</v>
      </c>
      <c r="J45" s="59"/>
      <c r="K45" s="18" t="s">
        <v>84</v>
      </c>
      <c r="L45" s="2"/>
      <c r="M45" s="2"/>
    </row>
    <row r="46" spans="1:13" s="1" customFormat="1" ht="84.75" customHeight="1" x14ac:dyDescent="0.25">
      <c r="A46" s="18"/>
      <c r="B46" s="164" t="s">
        <v>73</v>
      </c>
      <c r="C46" s="165"/>
      <c r="D46" s="165"/>
      <c r="E46" s="165"/>
      <c r="F46" s="19">
        <v>2019</v>
      </c>
      <c r="G46" s="64">
        <f t="shared" si="2"/>
        <v>21567349</v>
      </c>
      <c r="H46" s="64"/>
      <c r="I46" s="64">
        <f>2050000+18743555+369794+404000</f>
        <v>21567349</v>
      </c>
      <c r="J46" s="59"/>
      <c r="K46" s="18" t="s">
        <v>84</v>
      </c>
      <c r="L46" s="2"/>
      <c r="M46" s="2"/>
    </row>
    <row r="47" spans="1:13" s="85" customFormat="1" x14ac:dyDescent="0.25">
      <c r="A47" s="81"/>
      <c r="B47" s="167" t="s">
        <v>100</v>
      </c>
      <c r="C47" s="167"/>
      <c r="D47" s="167"/>
      <c r="E47" s="167"/>
      <c r="F47" s="82">
        <v>2020</v>
      </c>
      <c r="G47" s="95">
        <f t="shared" si="2"/>
        <v>5941550</v>
      </c>
      <c r="H47" s="95">
        <v>0</v>
      </c>
      <c r="I47" s="95">
        <f>3618450+907100+616000+800000</f>
        <v>5941550</v>
      </c>
      <c r="J47" s="93"/>
      <c r="K47" s="81" t="s">
        <v>84</v>
      </c>
      <c r="L47" s="94"/>
      <c r="M47" s="94"/>
    </row>
    <row r="48" spans="1:13" s="1" customFormat="1" x14ac:dyDescent="0.25">
      <c r="A48" s="18"/>
      <c r="B48" s="165" t="s">
        <v>100</v>
      </c>
      <c r="C48" s="165"/>
      <c r="D48" s="165"/>
      <c r="E48" s="165"/>
      <c r="F48" s="19">
        <v>2021</v>
      </c>
      <c r="G48" s="64">
        <f t="shared" si="2"/>
        <v>504000</v>
      </c>
      <c r="H48" s="64">
        <v>0</v>
      </c>
      <c r="I48" s="64">
        <f>404000+100000</f>
        <v>504000</v>
      </c>
      <c r="J48" s="59"/>
      <c r="K48" s="18" t="s">
        <v>84</v>
      </c>
      <c r="L48" s="2"/>
      <c r="M48" s="2"/>
    </row>
    <row r="49" spans="1:13" s="1" customFormat="1" x14ac:dyDescent="0.25">
      <c r="A49" s="18"/>
      <c r="B49" s="165" t="s">
        <v>100</v>
      </c>
      <c r="C49" s="165"/>
      <c r="D49" s="165"/>
      <c r="E49" s="165"/>
      <c r="F49" s="19">
        <v>2022</v>
      </c>
      <c r="G49" s="64">
        <f t="shared" si="2"/>
        <v>504000</v>
      </c>
      <c r="H49" s="64">
        <v>0</v>
      </c>
      <c r="I49" s="64">
        <v>504000</v>
      </c>
      <c r="J49" s="59"/>
      <c r="K49" s="18" t="s">
        <v>84</v>
      </c>
      <c r="L49" s="2"/>
      <c r="M49" s="2"/>
    </row>
    <row r="50" spans="1:13" s="1" customFormat="1" x14ac:dyDescent="0.25">
      <c r="A50" s="18"/>
      <c r="B50" s="133"/>
      <c r="C50" s="126"/>
      <c r="D50" s="126"/>
      <c r="E50" s="127"/>
      <c r="F50" s="19">
        <v>2023</v>
      </c>
      <c r="G50" s="64">
        <f t="shared" si="2"/>
        <v>504000</v>
      </c>
      <c r="H50" s="64">
        <v>0</v>
      </c>
      <c r="I50" s="64">
        <v>504000</v>
      </c>
      <c r="J50" s="59"/>
      <c r="K50" s="18" t="s">
        <v>84</v>
      </c>
      <c r="L50" s="2"/>
      <c r="M50" s="2"/>
    </row>
    <row r="51" spans="1:13" s="1" customFormat="1" x14ac:dyDescent="0.25">
      <c r="A51" s="18"/>
      <c r="B51" s="133"/>
      <c r="C51" s="126"/>
      <c r="D51" s="126"/>
      <c r="E51" s="127"/>
      <c r="F51" s="19">
        <v>2024</v>
      </c>
      <c r="G51" s="64">
        <f t="shared" si="2"/>
        <v>0</v>
      </c>
      <c r="H51" s="64">
        <v>0</v>
      </c>
      <c r="I51" s="64">
        <v>0</v>
      </c>
      <c r="J51" s="59"/>
      <c r="K51" s="18" t="s">
        <v>84</v>
      </c>
      <c r="L51" s="2"/>
      <c r="M51" s="2"/>
    </row>
    <row r="52" spans="1:13" s="1" customFormat="1" x14ac:dyDescent="0.25">
      <c r="A52" s="18"/>
      <c r="B52" s="133"/>
      <c r="C52" s="126"/>
      <c r="D52" s="126"/>
      <c r="E52" s="127"/>
      <c r="F52" s="19">
        <v>2025</v>
      </c>
      <c r="G52" s="64">
        <f t="shared" si="2"/>
        <v>0</v>
      </c>
      <c r="H52" s="64">
        <v>0</v>
      </c>
      <c r="I52" s="64">
        <v>0</v>
      </c>
      <c r="J52" s="59"/>
      <c r="K52" s="18" t="s">
        <v>84</v>
      </c>
      <c r="L52" s="2"/>
      <c r="M52" s="2"/>
    </row>
    <row r="53" spans="1:13" s="1" customFormat="1" ht="49.5" customHeight="1" x14ac:dyDescent="0.25">
      <c r="A53" s="9" t="s">
        <v>74</v>
      </c>
      <c r="B53" s="172" t="s">
        <v>75</v>
      </c>
      <c r="C53" s="173"/>
      <c r="D53" s="173"/>
      <c r="E53" s="173"/>
      <c r="F53" s="19"/>
      <c r="G53" s="64"/>
      <c r="H53" s="64"/>
      <c r="I53" s="64"/>
      <c r="J53" s="59"/>
      <c r="K53" s="168"/>
      <c r="L53" s="169"/>
      <c r="M53" s="170"/>
    </row>
    <row r="54" spans="1:13" s="1" customFormat="1" x14ac:dyDescent="0.25">
      <c r="A54" s="18"/>
      <c r="B54" s="165"/>
      <c r="C54" s="165"/>
      <c r="D54" s="165"/>
      <c r="E54" s="165"/>
      <c r="F54" s="19">
        <v>2014</v>
      </c>
      <c r="G54" s="64">
        <f>H54+I54+J54</f>
        <v>2000000</v>
      </c>
      <c r="H54" s="64">
        <v>1800000</v>
      </c>
      <c r="I54" s="64">
        <v>200000</v>
      </c>
      <c r="J54" s="59"/>
      <c r="K54" s="18" t="s">
        <v>84</v>
      </c>
      <c r="L54" s="2"/>
      <c r="M54" s="2"/>
    </row>
    <row r="55" spans="1:13" s="1" customFormat="1" x14ac:dyDescent="0.25">
      <c r="A55" s="18"/>
      <c r="B55" s="165"/>
      <c r="C55" s="165"/>
      <c r="D55" s="165"/>
      <c r="E55" s="165"/>
      <c r="F55" s="19">
        <v>2015</v>
      </c>
      <c r="G55" s="64">
        <f t="shared" ref="G55:G65" si="3">H55+I55+J55</f>
        <v>0</v>
      </c>
      <c r="H55" s="64">
        <v>0</v>
      </c>
      <c r="I55" s="64">
        <v>0</v>
      </c>
      <c r="J55" s="59"/>
      <c r="K55" s="18" t="s">
        <v>84</v>
      </c>
      <c r="L55" s="2"/>
      <c r="M55" s="2"/>
    </row>
    <row r="56" spans="1:13" s="1" customFormat="1" ht="38.25" customHeight="1" x14ac:dyDescent="0.25">
      <c r="A56" s="18"/>
      <c r="B56" s="164" t="s">
        <v>76</v>
      </c>
      <c r="C56" s="165"/>
      <c r="D56" s="165"/>
      <c r="E56" s="165"/>
      <c r="F56" s="19">
        <v>2016</v>
      </c>
      <c r="G56" s="64">
        <f t="shared" si="3"/>
        <v>887259.71</v>
      </c>
      <c r="H56" s="64">
        <v>0</v>
      </c>
      <c r="I56" s="64">
        <f>200000+687259.71</f>
        <v>887259.71</v>
      </c>
      <c r="J56" s="59"/>
      <c r="K56" s="18" t="s">
        <v>84</v>
      </c>
      <c r="L56" s="2"/>
      <c r="M56" s="2"/>
    </row>
    <row r="57" spans="1:13" s="1" customFormat="1" ht="35.25" customHeight="1" x14ac:dyDescent="0.25">
      <c r="A57" s="18"/>
      <c r="B57" s="164" t="s">
        <v>77</v>
      </c>
      <c r="C57" s="165"/>
      <c r="D57" s="165"/>
      <c r="E57" s="165"/>
      <c r="F57" s="19">
        <v>2017</v>
      </c>
      <c r="G57" s="64">
        <f t="shared" si="3"/>
        <v>500000</v>
      </c>
      <c r="H57" s="64">
        <v>0</v>
      </c>
      <c r="I57" s="64">
        <f>200000+300000</f>
        <v>500000</v>
      </c>
      <c r="J57" s="59"/>
      <c r="K57" s="18" t="s">
        <v>84</v>
      </c>
      <c r="L57" s="2"/>
      <c r="M57" s="2"/>
    </row>
    <row r="58" spans="1:13" s="1" customFormat="1" x14ac:dyDescent="0.25">
      <c r="A58" s="18"/>
      <c r="B58" s="165"/>
      <c r="C58" s="165"/>
      <c r="D58" s="165"/>
      <c r="E58" s="165"/>
      <c r="F58" s="19">
        <v>2018</v>
      </c>
      <c r="G58" s="64">
        <f t="shared" si="3"/>
        <v>0</v>
      </c>
      <c r="H58" s="64">
        <v>0</v>
      </c>
      <c r="I58" s="64">
        <v>0</v>
      </c>
      <c r="J58" s="59">
        <v>0</v>
      </c>
      <c r="K58" s="18" t="s">
        <v>84</v>
      </c>
      <c r="L58" s="2"/>
      <c r="M58" s="2"/>
    </row>
    <row r="59" spans="1:13" s="1" customFormat="1" ht="126" customHeight="1" x14ac:dyDescent="0.25">
      <c r="A59" s="18"/>
      <c r="B59" s="164" t="s">
        <v>78</v>
      </c>
      <c r="C59" s="165"/>
      <c r="D59" s="165"/>
      <c r="E59" s="165"/>
      <c r="F59" s="19">
        <v>2019</v>
      </c>
      <c r="G59" s="64">
        <f t="shared" si="3"/>
        <v>16482131.67</v>
      </c>
      <c r="H59" s="64">
        <v>0</v>
      </c>
      <c r="I59" s="64">
        <f>2684096.81+282034.86+180000+6300000+200000+126000+300000+5400000+800000+200000+10000</f>
        <v>16482131.67</v>
      </c>
      <c r="J59" s="59"/>
      <c r="K59" s="18" t="s">
        <v>84</v>
      </c>
      <c r="L59" s="2"/>
      <c r="M59" s="2"/>
    </row>
    <row r="60" spans="1:13" s="85" customFormat="1" x14ac:dyDescent="0.25">
      <c r="A60" s="81"/>
      <c r="B60" s="167" t="s">
        <v>101</v>
      </c>
      <c r="C60" s="167"/>
      <c r="D60" s="167"/>
      <c r="E60" s="167"/>
      <c r="F60" s="82">
        <v>2020</v>
      </c>
      <c r="G60" s="95">
        <f t="shared" si="3"/>
        <v>31858372.93</v>
      </c>
      <c r="H60" s="95">
        <v>0</v>
      </c>
      <c r="I60" s="95">
        <f>100000+3901809.39+6000000+86194.14+9860086+9860101+394403.74+300000+280000+130000+235000+130000+70800+200000+305596.26+4382.4</f>
        <v>31858372.93</v>
      </c>
      <c r="J60" s="93"/>
      <c r="K60" s="81" t="s">
        <v>84</v>
      </c>
      <c r="L60" s="94"/>
      <c r="M60" s="94"/>
    </row>
    <row r="61" spans="1:13" s="1" customFormat="1" x14ac:dyDescent="0.25">
      <c r="A61" s="18"/>
      <c r="B61" s="165" t="s">
        <v>101</v>
      </c>
      <c r="C61" s="165"/>
      <c r="D61" s="165"/>
      <c r="E61" s="165"/>
      <c r="F61" s="19">
        <v>2021</v>
      </c>
      <c r="G61" s="64">
        <f t="shared" si="3"/>
        <v>9290270.9699999988</v>
      </c>
      <c r="H61" s="64">
        <v>0</v>
      </c>
      <c r="I61" s="64">
        <f>7390270.97+300000+300000+1300000</f>
        <v>9290270.9699999988</v>
      </c>
      <c r="J61" s="59"/>
      <c r="K61" s="18" t="s">
        <v>84</v>
      </c>
      <c r="L61" s="2"/>
      <c r="M61" s="2"/>
    </row>
    <row r="62" spans="1:13" s="1" customFormat="1" x14ac:dyDescent="0.25">
      <c r="A62" s="18"/>
      <c r="B62" s="165" t="s">
        <v>101</v>
      </c>
      <c r="C62" s="165"/>
      <c r="D62" s="165"/>
      <c r="E62" s="165"/>
      <c r="F62" s="19">
        <v>2022</v>
      </c>
      <c r="G62" s="64">
        <f t="shared" si="3"/>
        <v>850000</v>
      </c>
      <c r="H62" s="64">
        <v>0</v>
      </c>
      <c r="I62" s="64">
        <v>850000</v>
      </c>
      <c r="J62" s="59"/>
      <c r="K62" s="18" t="s">
        <v>84</v>
      </c>
      <c r="L62" s="2"/>
      <c r="M62" s="2"/>
    </row>
    <row r="63" spans="1:13" s="1" customFormat="1" x14ac:dyDescent="0.25">
      <c r="A63" s="18"/>
      <c r="B63" s="133"/>
      <c r="C63" s="126"/>
      <c r="D63" s="126"/>
      <c r="E63" s="127"/>
      <c r="F63" s="19">
        <v>2023</v>
      </c>
      <c r="G63" s="64">
        <f t="shared" si="3"/>
        <v>1650000</v>
      </c>
      <c r="H63" s="64">
        <v>0</v>
      </c>
      <c r="I63" s="64">
        <v>1650000</v>
      </c>
      <c r="J63" s="59"/>
      <c r="K63" s="18" t="s">
        <v>84</v>
      </c>
      <c r="L63" s="2"/>
      <c r="M63" s="2"/>
    </row>
    <row r="64" spans="1:13" s="1" customFormat="1" x14ac:dyDescent="0.25">
      <c r="A64" s="18"/>
      <c r="B64" s="133"/>
      <c r="C64" s="126"/>
      <c r="D64" s="126"/>
      <c r="E64" s="127"/>
      <c r="F64" s="19">
        <v>2024</v>
      </c>
      <c r="G64" s="64">
        <f t="shared" si="3"/>
        <v>0</v>
      </c>
      <c r="H64" s="64">
        <v>0</v>
      </c>
      <c r="I64" s="64">
        <v>0</v>
      </c>
      <c r="J64" s="59"/>
      <c r="K64" s="18" t="s">
        <v>84</v>
      </c>
      <c r="L64" s="2"/>
      <c r="M64" s="2"/>
    </row>
    <row r="65" spans="1:13" s="1" customFormat="1" x14ac:dyDescent="0.25">
      <c r="A65" s="18"/>
      <c r="B65" s="133"/>
      <c r="C65" s="126"/>
      <c r="D65" s="126"/>
      <c r="E65" s="127"/>
      <c r="F65" s="19">
        <v>2025</v>
      </c>
      <c r="G65" s="64">
        <f t="shared" si="3"/>
        <v>0</v>
      </c>
      <c r="H65" s="64">
        <v>0</v>
      </c>
      <c r="I65" s="64">
        <v>0</v>
      </c>
      <c r="J65" s="59"/>
      <c r="K65" s="18" t="s">
        <v>84</v>
      </c>
      <c r="L65" s="2"/>
      <c r="M65" s="2"/>
    </row>
    <row r="66" spans="1:13" s="1" customFormat="1" ht="59.25" customHeight="1" x14ac:dyDescent="0.25">
      <c r="A66" s="8" t="s">
        <v>79</v>
      </c>
      <c r="B66" s="143" t="s">
        <v>80</v>
      </c>
      <c r="C66" s="144"/>
      <c r="D66" s="144"/>
      <c r="E66" s="144"/>
      <c r="F66" s="19"/>
      <c r="G66" s="64"/>
      <c r="H66" s="64"/>
      <c r="I66" s="64"/>
      <c r="J66" s="59"/>
      <c r="K66" s="168"/>
      <c r="L66" s="169"/>
      <c r="M66" s="170"/>
    </row>
    <row r="67" spans="1:13" s="1" customFormat="1" x14ac:dyDescent="0.25">
      <c r="A67" s="18"/>
      <c r="B67" s="165"/>
      <c r="C67" s="165"/>
      <c r="D67" s="165"/>
      <c r="E67" s="165"/>
      <c r="F67" s="19">
        <v>2014</v>
      </c>
      <c r="G67" s="64">
        <f>H67+I67+J67</f>
        <v>0</v>
      </c>
      <c r="H67" s="64">
        <v>0</v>
      </c>
      <c r="I67" s="64">
        <v>0</v>
      </c>
      <c r="J67" s="59"/>
      <c r="K67" s="18" t="s">
        <v>84</v>
      </c>
      <c r="L67" s="2"/>
      <c r="M67" s="2"/>
    </row>
    <row r="68" spans="1:13" s="1" customFormat="1" x14ac:dyDescent="0.25">
      <c r="A68" s="18"/>
      <c r="B68" s="165"/>
      <c r="C68" s="165"/>
      <c r="D68" s="165"/>
      <c r="E68" s="165"/>
      <c r="F68" s="19">
        <v>2015</v>
      </c>
      <c r="G68" s="64">
        <f t="shared" ref="G68:G78" si="4">H68+I68+J68</f>
        <v>0</v>
      </c>
      <c r="H68" s="64">
        <v>0</v>
      </c>
      <c r="I68" s="64">
        <v>0</v>
      </c>
      <c r="J68" s="59"/>
      <c r="K68" s="18" t="s">
        <v>84</v>
      </c>
      <c r="L68" s="2"/>
      <c r="M68" s="2"/>
    </row>
    <row r="69" spans="1:13" s="1" customFormat="1" x14ac:dyDescent="0.25">
      <c r="A69" s="18"/>
      <c r="B69" s="165"/>
      <c r="C69" s="165"/>
      <c r="D69" s="165"/>
      <c r="E69" s="165"/>
      <c r="F69" s="19">
        <v>2016</v>
      </c>
      <c r="G69" s="64">
        <f t="shared" si="4"/>
        <v>0</v>
      </c>
      <c r="H69" s="64">
        <v>0</v>
      </c>
      <c r="I69" s="64">
        <v>0</v>
      </c>
      <c r="J69" s="59"/>
      <c r="K69" s="18" t="s">
        <v>84</v>
      </c>
      <c r="L69" s="2"/>
      <c r="M69" s="2"/>
    </row>
    <row r="70" spans="1:13" s="1" customFormat="1" x14ac:dyDescent="0.25">
      <c r="A70" s="18"/>
      <c r="B70" s="165"/>
      <c r="C70" s="165"/>
      <c r="D70" s="165"/>
      <c r="E70" s="165"/>
      <c r="F70" s="19">
        <v>2017</v>
      </c>
      <c r="G70" s="64">
        <f t="shared" si="4"/>
        <v>0</v>
      </c>
      <c r="H70" s="64">
        <v>0</v>
      </c>
      <c r="I70" s="64">
        <v>0</v>
      </c>
      <c r="J70" s="59"/>
      <c r="K70" s="18" t="s">
        <v>84</v>
      </c>
      <c r="L70" s="2"/>
      <c r="M70" s="2"/>
    </row>
    <row r="71" spans="1:13" s="1" customFormat="1" x14ac:dyDescent="0.25">
      <c r="A71" s="18"/>
      <c r="B71" s="165"/>
      <c r="C71" s="165"/>
      <c r="D71" s="165"/>
      <c r="E71" s="165"/>
      <c r="F71" s="19">
        <v>2018</v>
      </c>
      <c r="G71" s="64">
        <f t="shared" si="4"/>
        <v>0</v>
      </c>
      <c r="H71" s="64">
        <v>0</v>
      </c>
      <c r="I71" s="64">
        <v>0</v>
      </c>
      <c r="J71" s="59"/>
      <c r="K71" s="18" t="s">
        <v>84</v>
      </c>
      <c r="L71" s="2"/>
      <c r="M71" s="2"/>
    </row>
    <row r="72" spans="1:13" s="1" customFormat="1" x14ac:dyDescent="0.25">
      <c r="A72" s="18"/>
      <c r="B72" s="165"/>
      <c r="C72" s="165"/>
      <c r="D72" s="165"/>
      <c r="E72" s="165"/>
      <c r="F72" s="19">
        <v>2019</v>
      </c>
      <c r="G72" s="64">
        <f t="shared" si="4"/>
        <v>0</v>
      </c>
      <c r="H72" s="64">
        <v>0</v>
      </c>
      <c r="I72" s="64">
        <v>0</v>
      </c>
      <c r="J72" s="59"/>
      <c r="K72" s="18" t="s">
        <v>84</v>
      </c>
      <c r="L72" s="2"/>
      <c r="M72" s="2"/>
    </row>
    <row r="73" spans="1:13" s="1" customFormat="1" x14ac:dyDescent="0.25">
      <c r="A73" s="18"/>
      <c r="B73" s="165"/>
      <c r="C73" s="165"/>
      <c r="D73" s="165"/>
      <c r="E73" s="165"/>
      <c r="F73" s="19">
        <v>2020</v>
      </c>
      <c r="G73" s="64">
        <f t="shared" si="4"/>
        <v>0</v>
      </c>
      <c r="H73" s="64">
        <v>0</v>
      </c>
      <c r="I73" s="64">
        <v>0</v>
      </c>
      <c r="J73" s="59"/>
      <c r="K73" s="18" t="s">
        <v>84</v>
      </c>
      <c r="L73" s="2"/>
      <c r="M73" s="2"/>
    </row>
    <row r="74" spans="1:13" s="1" customFormat="1" x14ac:dyDescent="0.25">
      <c r="A74" s="18"/>
      <c r="B74" s="165"/>
      <c r="C74" s="165"/>
      <c r="D74" s="165"/>
      <c r="E74" s="165"/>
      <c r="F74" s="19">
        <v>2021</v>
      </c>
      <c r="G74" s="64">
        <f t="shared" si="4"/>
        <v>0</v>
      </c>
      <c r="H74" s="64">
        <v>0</v>
      </c>
      <c r="I74" s="64">
        <v>0</v>
      </c>
      <c r="J74" s="59"/>
      <c r="K74" s="18" t="s">
        <v>84</v>
      </c>
      <c r="L74" s="2"/>
      <c r="M74" s="2"/>
    </row>
    <row r="75" spans="1:13" s="1" customFormat="1" x14ac:dyDescent="0.25">
      <c r="A75" s="2"/>
      <c r="B75" s="174"/>
      <c r="C75" s="174"/>
      <c r="D75" s="174"/>
      <c r="E75" s="174"/>
      <c r="F75" s="19">
        <v>2022</v>
      </c>
      <c r="G75" s="64">
        <f t="shared" si="4"/>
        <v>0</v>
      </c>
      <c r="H75" s="64">
        <v>0</v>
      </c>
      <c r="I75" s="64">
        <v>0</v>
      </c>
      <c r="J75" s="60"/>
      <c r="K75" s="18" t="s">
        <v>84</v>
      </c>
      <c r="L75" s="2"/>
      <c r="M75" s="2"/>
    </row>
    <row r="76" spans="1:13" s="1" customFormat="1" x14ac:dyDescent="0.25">
      <c r="A76" s="2"/>
      <c r="B76" s="175"/>
      <c r="C76" s="176"/>
      <c r="D76" s="176"/>
      <c r="E76" s="177"/>
      <c r="F76" s="19">
        <v>2023</v>
      </c>
      <c r="G76" s="64">
        <f t="shared" si="4"/>
        <v>0</v>
      </c>
      <c r="H76" s="64">
        <v>0</v>
      </c>
      <c r="I76" s="64">
        <v>0</v>
      </c>
      <c r="J76" s="60"/>
      <c r="K76" s="18" t="s">
        <v>84</v>
      </c>
      <c r="L76" s="2"/>
      <c r="M76" s="2"/>
    </row>
    <row r="77" spans="1:13" s="1" customFormat="1" x14ac:dyDescent="0.25">
      <c r="A77" s="2"/>
      <c r="B77" s="175"/>
      <c r="C77" s="176"/>
      <c r="D77" s="176"/>
      <c r="E77" s="177"/>
      <c r="F77" s="19">
        <v>2024</v>
      </c>
      <c r="G77" s="64">
        <f t="shared" si="4"/>
        <v>0</v>
      </c>
      <c r="H77" s="64">
        <v>0</v>
      </c>
      <c r="I77" s="64">
        <v>0</v>
      </c>
      <c r="J77" s="60"/>
      <c r="K77" s="18" t="s">
        <v>84</v>
      </c>
      <c r="L77" s="2"/>
      <c r="M77" s="2"/>
    </row>
    <row r="78" spans="1:13" s="1" customFormat="1" x14ac:dyDescent="0.25">
      <c r="A78" s="2"/>
      <c r="B78" s="175"/>
      <c r="C78" s="176"/>
      <c r="D78" s="176"/>
      <c r="E78" s="177"/>
      <c r="F78" s="19">
        <v>2025</v>
      </c>
      <c r="G78" s="64">
        <f t="shared" si="4"/>
        <v>0</v>
      </c>
      <c r="H78" s="64">
        <v>0</v>
      </c>
      <c r="I78" s="64">
        <v>0</v>
      </c>
      <c r="J78" s="60"/>
      <c r="K78" s="18" t="s">
        <v>84</v>
      </c>
      <c r="L78" s="2"/>
      <c r="M78" s="2"/>
    </row>
    <row r="79" spans="1:13" s="1" customFormat="1" ht="31.5" customHeight="1" x14ac:dyDescent="0.25">
      <c r="A79" s="8" t="s">
        <v>81</v>
      </c>
      <c r="B79" s="143" t="s">
        <v>82</v>
      </c>
      <c r="C79" s="144"/>
      <c r="D79" s="144"/>
      <c r="E79" s="144"/>
      <c r="F79" s="49"/>
      <c r="G79" s="65"/>
      <c r="H79" s="65"/>
      <c r="I79" s="65"/>
      <c r="J79" s="60"/>
      <c r="K79" s="168"/>
      <c r="L79" s="169"/>
      <c r="M79" s="170"/>
    </row>
    <row r="80" spans="1:13" s="14" customFormat="1" ht="11.25" x14ac:dyDescent="0.2">
      <c r="A80" s="18"/>
      <c r="B80" s="165"/>
      <c r="C80" s="165"/>
      <c r="D80" s="165"/>
      <c r="E80" s="165"/>
      <c r="F80" s="19">
        <v>2014</v>
      </c>
      <c r="G80" s="64">
        <f>H80+I80+J80</f>
        <v>0</v>
      </c>
      <c r="H80" s="64">
        <v>0</v>
      </c>
      <c r="I80" s="64"/>
      <c r="J80" s="59"/>
      <c r="K80" s="18" t="s">
        <v>84</v>
      </c>
      <c r="L80" s="18"/>
      <c r="M80" s="18"/>
    </row>
    <row r="81" spans="1:13" s="14" customFormat="1" ht="11.25" x14ac:dyDescent="0.2">
      <c r="A81" s="18"/>
      <c r="B81" s="165"/>
      <c r="C81" s="165"/>
      <c r="D81" s="165"/>
      <c r="E81" s="165"/>
      <c r="F81" s="19">
        <v>2015</v>
      </c>
      <c r="G81" s="64">
        <f t="shared" ref="G81:G91" si="5">H81+I81+J81</f>
        <v>0</v>
      </c>
      <c r="H81" s="64">
        <v>0</v>
      </c>
      <c r="I81" s="64"/>
      <c r="J81" s="59"/>
      <c r="K81" s="18" t="s">
        <v>84</v>
      </c>
      <c r="L81" s="18"/>
      <c r="M81" s="18"/>
    </row>
    <row r="82" spans="1:13" s="14" customFormat="1" ht="11.25" x14ac:dyDescent="0.2">
      <c r="A82" s="18"/>
      <c r="B82" s="165"/>
      <c r="C82" s="165"/>
      <c r="D82" s="165"/>
      <c r="E82" s="165"/>
      <c r="F82" s="19">
        <v>2016</v>
      </c>
      <c r="G82" s="64">
        <f t="shared" si="5"/>
        <v>294409.03000000003</v>
      </c>
      <c r="H82" s="64">
        <v>0</v>
      </c>
      <c r="I82" s="64">
        <v>294409.03000000003</v>
      </c>
      <c r="J82" s="59"/>
      <c r="K82" s="18" t="s">
        <v>84</v>
      </c>
      <c r="L82" s="18"/>
      <c r="M82" s="18"/>
    </row>
    <row r="83" spans="1:13" s="14" customFormat="1" ht="11.25" x14ac:dyDescent="0.2">
      <c r="A83" s="18"/>
      <c r="B83" s="165"/>
      <c r="C83" s="165"/>
      <c r="D83" s="165"/>
      <c r="E83" s="165"/>
      <c r="F83" s="19">
        <v>2017</v>
      </c>
      <c r="G83" s="64">
        <f t="shared" si="5"/>
        <v>305342.2</v>
      </c>
      <c r="H83" s="64">
        <v>0</v>
      </c>
      <c r="I83" s="64">
        <v>305342.2</v>
      </c>
      <c r="J83" s="59"/>
      <c r="K83" s="18" t="s">
        <v>84</v>
      </c>
      <c r="L83" s="18"/>
      <c r="M83" s="18"/>
    </row>
    <row r="84" spans="1:13" s="14" customFormat="1" ht="11.25" x14ac:dyDescent="0.2">
      <c r="A84" s="18"/>
      <c r="B84" s="165"/>
      <c r="C84" s="165"/>
      <c r="D84" s="165"/>
      <c r="E84" s="165"/>
      <c r="F84" s="19">
        <v>2018</v>
      </c>
      <c r="G84" s="64">
        <f t="shared" si="5"/>
        <v>172283.8</v>
      </c>
      <c r="H84" s="64">
        <v>0</v>
      </c>
      <c r="I84" s="64">
        <v>172283.8</v>
      </c>
      <c r="J84" s="59"/>
      <c r="K84" s="18" t="s">
        <v>84</v>
      </c>
      <c r="L84" s="18"/>
      <c r="M84" s="18"/>
    </row>
    <row r="85" spans="1:13" s="14" customFormat="1" ht="11.25" x14ac:dyDescent="0.2">
      <c r="A85" s="18"/>
      <c r="B85" s="165"/>
      <c r="C85" s="165"/>
      <c r="D85" s="165"/>
      <c r="E85" s="165"/>
      <c r="F85" s="19">
        <v>2019</v>
      </c>
      <c r="G85" s="64">
        <f t="shared" si="5"/>
        <v>202437.59</v>
      </c>
      <c r="H85" s="64">
        <v>0</v>
      </c>
      <c r="I85" s="64">
        <v>202437.59</v>
      </c>
      <c r="J85" s="59"/>
      <c r="K85" s="18" t="s">
        <v>84</v>
      </c>
      <c r="L85" s="18"/>
      <c r="M85" s="18"/>
    </row>
    <row r="86" spans="1:13" s="84" customFormat="1" ht="11.25" x14ac:dyDescent="0.2">
      <c r="A86" s="81"/>
      <c r="B86" s="167"/>
      <c r="C86" s="167"/>
      <c r="D86" s="167"/>
      <c r="E86" s="167"/>
      <c r="F86" s="82">
        <v>2020</v>
      </c>
      <c r="G86" s="95">
        <f t="shared" si="5"/>
        <v>247135.8</v>
      </c>
      <c r="H86" s="95">
        <v>0</v>
      </c>
      <c r="I86" s="95">
        <v>247135.8</v>
      </c>
      <c r="J86" s="93"/>
      <c r="K86" s="81" t="s">
        <v>84</v>
      </c>
      <c r="L86" s="81"/>
      <c r="M86" s="81"/>
    </row>
    <row r="87" spans="1:13" s="14" customFormat="1" ht="11.25" x14ac:dyDescent="0.2">
      <c r="A87" s="18"/>
      <c r="B87" s="165"/>
      <c r="C87" s="165"/>
      <c r="D87" s="165"/>
      <c r="E87" s="165"/>
      <c r="F87" s="19">
        <v>2021</v>
      </c>
      <c r="G87" s="64">
        <f t="shared" si="5"/>
        <v>458069.12</v>
      </c>
      <c r="H87" s="64">
        <v>0</v>
      </c>
      <c r="I87" s="64">
        <v>458069.12</v>
      </c>
      <c r="J87" s="59"/>
      <c r="K87" s="18" t="s">
        <v>84</v>
      </c>
      <c r="L87" s="18"/>
      <c r="M87" s="18"/>
    </row>
    <row r="88" spans="1:13" s="14" customFormat="1" ht="11.25" x14ac:dyDescent="0.2">
      <c r="A88" s="18"/>
      <c r="B88" s="165"/>
      <c r="C88" s="165"/>
      <c r="D88" s="165"/>
      <c r="E88" s="165"/>
      <c r="F88" s="19">
        <v>2022</v>
      </c>
      <c r="G88" s="64">
        <f t="shared" si="5"/>
        <v>311340.33</v>
      </c>
      <c r="H88" s="64">
        <v>0</v>
      </c>
      <c r="I88" s="64">
        <v>311340.33</v>
      </c>
      <c r="J88" s="59"/>
      <c r="K88" s="18" t="s">
        <v>84</v>
      </c>
      <c r="L88" s="18"/>
      <c r="M88" s="18"/>
    </row>
    <row r="89" spans="1:13" s="14" customFormat="1" ht="11.25" x14ac:dyDescent="0.2">
      <c r="A89" s="18"/>
      <c r="B89" s="133"/>
      <c r="C89" s="126"/>
      <c r="D89" s="126"/>
      <c r="E89" s="127"/>
      <c r="F89" s="19">
        <v>2023</v>
      </c>
      <c r="G89" s="64">
        <f t="shared" si="5"/>
        <v>320680.53999999998</v>
      </c>
      <c r="H89" s="64">
        <v>0</v>
      </c>
      <c r="I89" s="64">
        <v>320680.53999999998</v>
      </c>
      <c r="J89" s="59"/>
      <c r="K89" s="18" t="s">
        <v>84</v>
      </c>
      <c r="L89" s="18"/>
      <c r="M89" s="18"/>
    </row>
    <row r="90" spans="1:13" s="14" customFormat="1" ht="11.25" x14ac:dyDescent="0.2">
      <c r="A90" s="18"/>
      <c r="B90" s="133"/>
      <c r="C90" s="126"/>
      <c r="D90" s="126"/>
      <c r="E90" s="127"/>
      <c r="F90" s="19">
        <v>2024</v>
      </c>
      <c r="G90" s="64">
        <f t="shared" si="5"/>
        <v>0</v>
      </c>
      <c r="H90" s="64">
        <v>0</v>
      </c>
      <c r="I90" s="64">
        <v>0</v>
      </c>
      <c r="J90" s="59"/>
      <c r="K90" s="18" t="s">
        <v>84</v>
      </c>
      <c r="L90" s="18"/>
      <c r="M90" s="18"/>
    </row>
    <row r="91" spans="1:13" s="14" customFormat="1" ht="11.25" x14ac:dyDescent="0.2">
      <c r="A91" s="18"/>
      <c r="B91" s="165"/>
      <c r="C91" s="165"/>
      <c r="D91" s="165"/>
      <c r="E91" s="165"/>
      <c r="F91" s="19">
        <v>2025</v>
      </c>
      <c r="G91" s="64">
        <f t="shared" si="5"/>
        <v>0</v>
      </c>
      <c r="H91" s="64">
        <v>0</v>
      </c>
      <c r="I91" s="64">
        <v>0</v>
      </c>
      <c r="J91" s="59"/>
      <c r="K91" s="18" t="s">
        <v>84</v>
      </c>
      <c r="L91" s="18"/>
      <c r="M91" s="18"/>
    </row>
    <row r="92" spans="1:13" s="14" customFormat="1" ht="11.25" x14ac:dyDescent="0.2">
      <c r="A92" s="18"/>
      <c r="B92" s="144" t="s">
        <v>83</v>
      </c>
      <c r="C92" s="144"/>
      <c r="D92" s="144"/>
      <c r="E92" s="144"/>
      <c r="F92" s="39">
        <v>2014</v>
      </c>
      <c r="G92" s="26">
        <f>G3+G15+G28+G41+G54+G80</f>
        <v>6034550</v>
      </c>
      <c r="H92" s="26">
        <f>H3+H15+H28+H41+H54+H67</f>
        <v>5431095</v>
      </c>
      <c r="I92" s="26">
        <f>I3+I28+I15+I41+I54+I67+I80</f>
        <v>603455</v>
      </c>
      <c r="J92" s="61"/>
      <c r="K92" s="18" t="s">
        <v>84</v>
      </c>
      <c r="L92" s="18"/>
      <c r="M92" s="18"/>
    </row>
    <row r="93" spans="1:13" s="14" customFormat="1" ht="11.25" x14ac:dyDescent="0.2">
      <c r="A93" s="18"/>
      <c r="B93" s="144"/>
      <c r="C93" s="144"/>
      <c r="D93" s="144"/>
      <c r="E93" s="144"/>
      <c r="F93" s="39">
        <v>2015</v>
      </c>
      <c r="G93" s="26">
        <f>G4+G16+G29+G42+G55</f>
        <v>1720719.02</v>
      </c>
      <c r="H93" s="26">
        <f t="shared" ref="H93:H103" si="6">H4+H16+H29+H42+H55+H68</f>
        <v>0</v>
      </c>
      <c r="I93" s="26">
        <f t="shared" ref="I93:I103" si="7">I4+I29+I16+I42+I55+I68+I81</f>
        <v>1720719.02</v>
      </c>
      <c r="J93" s="61"/>
      <c r="K93" s="18" t="s">
        <v>84</v>
      </c>
      <c r="L93" s="18"/>
      <c r="M93" s="18"/>
    </row>
    <row r="94" spans="1:13" s="14" customFormat="1" ht="11.25" x14ac:dyDescent="0.2">
      <c r="A94" s="18"/>
      <c r="B94" s="144"/>
      <c r="C94" s="144"/>
      <c r="D94" s="144"/>
      <c r="E94" s="144"/>
      <c r="F94" s="39">
        <v>2016</v>
      </c>
      <c r="G94" s="26">
        <f>G5+G30+G43+G56+G69+G82</f>
        <v>31656600.460000001</v>
      </c>
      <c r="H94" s="26">
        <f t="shared" si="6"/>
        <v>0</v>
      </c>
      <c r="I94" s="26">
        <f t="shared" si="7"/>
        <v>31656600.460000001</v>
      </c>
      <c r="J94" s="61"/>
      <c r="K94" s="18" t="s">
        <v>84</v>
      </c>
      <c r="L94" s="18"/>
      <c r="M94" s="18"/>
    </row>
    <row r="95" spans="1:13" s="14" customFormat="1" ht="11.25" x14ac:dyDescent="0.2">
      <c r="A95" s="18"/>
      <c r="B95" s="144"/>
      <c r="C95" s="144"/>
      <c r="D95" s="144"/>
      <c r="E95" s="144"/>
      <c r="F95" s="39">
        <v>2017</v>
      </c>
      <c r="G95" s="26">
        <f>G6+G18+G31+G44+G70+G57+G83</f>
        <v>11643072.199999999</v>
      </c>
      <c r="H95" s="26">
        <f t="shared" si="6"/>
        <v>0</v>
      </c>
      <c r="I95" s="26">
        <f t="shared" si="7"/>
        <v>11643072.199999999</v>
      </c>
      <c r="J95" s="61"/>
      <c r="K95" s="18" t="s">
        <v>84</v>
      </c>
      <c r="L95" s="18"/>
      <c r="M95" s="18"/>
    </row>
    <row r="96" spans="1:13" s="14" customFormat="1" ht="11.25" x14ac:dyDescent="0.2">
      <c r="A96" s="18"/>
      <c r="B96" s="144"/>
      <c r="C96" s="144"/>
      <c r="D96" s="144"/>
      <c r="E96" s="144"/>
      <c r="F96" s="39">
        <v>2018</v>
      </c>
      <c r="G96" s="26">
        <f>G7+G19+G32+G45+G58+G71+G84</f>
        <v>20931583.800000001</v>
      </c>
      <c r="H96" s="26">
        <f t="shared" si="6"/>
        <v>0</v>
      </c>
      <c r="I96" s="26">
        <f t="shared" si="7"/>
        <v>20931583.800000001</v>
      </c>
      <c r="J96" s="61"/>
      <c r="K96" s="18" t="s">
        <v>84</v>
      </c>
      <c r="L96" s="18"/>
      <c r="M96" s="18"/>
    </row>
    <row r="97" spans="1:13" s="14" customFormat="1" ht="11.25" x14ac:dyDescent="0.2">
      <c r="A97" s="18"/>
      <c r="B97" s="144"/>
      <c r="C97" s="144"/>
      <c r="D97" s="144"/>
      <c r="E97" s="144"/>
      <c r="F97" s="39">
        <v>2019</v>
      </c>
      <c r="G97" s="26">
        <f>G8+G20+G33+G46+G59+G72+G85</f>
        <v>45323062.340000004</v>
      </c>
      <c r="H97" s="26">
        <f t="shared" si="6"/>
        <v>0</v>
      </c>
      <c r="I97" s="26">
        <f t="shared" si="7"/>
        <v>45323062.340000004</v>
      </c>
      <c r="J97" s="61"/>
      <c r="K97" s="18" t="s">
        <v>84</v>
      </c>
      <c r="L97" s="18"/>
      <c r="M97" s="18"/>
    </row>
    <row r="98" spans="1:13" s="14" customFormat="1" ht="11.25" x14ac:dyDescent="0.2">
      <c r="A98" s="18"/>
      <c r="B98" s="144"/>
      <c r="C98" s="144"/>
      <c r="D98" s="144"/>
      <c r="E98" s="144"/>
      <c r="F98" s="39">
        <v>2020</v>
      </c>
      <c r="G98" s="26">
        <f>G9+G21+G34+G47+G60+G73+G86</f>
        <v>46095090.359999999</v>
      </c>
      <c r="H98" s="26">
        <f t="shared" si="6"/>
        <v>0</v>
      </c>
      <c r="I98" s="26">
        <f t="shared" si="7"/>
        <v>46095090.359999999</v>
      </c>
      <c r="J98" s="61"/>
      <c r="K98" s="18" t="s">
        <v>84</v>
      </c>
      <c r="L98" s="18"/>
      <c r="M98" s="18"/>
    </row>
    <row r="99" spans="1:13" s="14" customFormat="1" ht="11.25" x14ac:dyDescent="0.2">
      <c r="A99" s="18"/>
      <c r="B99" s="144"/>
      <c r="C99" s="144"/>
      <c r="D99" s="144"/>
      <c r="E99" s="144"/>
      <c r="F99" s="39">
        <v>2021</v>
      </c>
      <c r="G99" s="26">
        <f>G10+G22+G35+G48+G61+G74+G87</f>
        <v>18552785.710000001</v>
      </c>
      <c r="H99" s="26">
        <f t="shared" si="6"/>
        <v>0</v>
      </c>
      <c r="I99" s="26">
        <f>I10+I35+I22+I48+I61+I74+I87</f>
        <v>18552785.710000001</v>
      </c>
      <c r="J99" s="61"/>
      <c r="K99" s="18" t="s">
        <v>84</v>
      </c>
      <c r="L99" s="18"/>
      <c r="M99" s="18"/>
    </row>
    <row r="100" spans="1:13" s="14" customFormat="1" ht="11.25" x14ac:dyDescent="0.2">
      <c r="A100" s="18"/>
      <c r="B100" s="144"/>
      <c r="C100" s="144"/>
      <c r="D100" s="144"/>
      <c r="E100" s="144"/>
      <c r="F100" s="39">
        <v>2022</v>
      </c>
      <c r="G100" s="26">
        <f>G11+G23+G36+G62+G75+G88+G49</f>
        <v>3247470.33</v>
      </c>
      <c r="H100" s="26">
        <f t="shared" si="6"/>
        <v>0</v>
      </c>
      <c r="I100" s="26">
        <f>I11+I36+I23+I49+I62+I75+I88</f>
        <v>3247470.33</v>
      </c>
      <c r="J100" s="61"/>
      <c r="K100" s="18" t="s">
        <v>84</v>
      </c>
      <c r="L100" s="18"/>
      <c r="M100" s="18"/>
    </row>
    <row r="101" spans="1:13" s="14" customFormat="1" ht="11.25" x14ac:dyDescent="0.2">
      <c r="A101" s="18"/>
      <c r="B101" s="144"/>
      <c r="C101" s="144"/>
      <c r="D101" s="144"/>
      <c r="E101" s="144"/>
      <c r="F101" s="39">
        <v>2023</v>
      </c>
      <c r="G101" s="26">
        <f>G12+G24+G37+G63+G76+G89+G50</f>
        <v>4056810.54</v>
      </c>
      <c r="H101" s="26">
        <f t="shared" si="6"/>
        <v>0</v>
      </c>
      <c r="I101" s="26">
        <f>I12+I37+I24+I50+I63+I76+I89</f>
        <v>4056810.54</v>
      </c>
      <c r="J101" s="61"/>
      <c r="K101" s="18" t="s">
        <v>84</v>
      </c>
      <c r="L101" s="18"/>
      <c r="M101" s="18"/>
    </row>
    <row r="102" spans="1:13" s="14" customFormat="1" ht="11.25" x14ac:dyDescent="0.2">
      <c r="A102" s="18"/>
      <c r="B102" s="144"/>
      <c r="C102" s="144"/>
      <c r="D102" s="144"/>
      <c r="E102" s="144"/>
      <c r="F102" s="39">
        <v>2024</v>
      </c>
      <c r="G102" s="26">
        <f>G13+G25+G38+G64+G77+G90</f>
        <v>0</v>
      </c>
      <c r="H102" s="26">
        <f t="shared" si="6"/>
        <v>0</v>
      </c>
      <c r="I102" s="26">
        <f t="shared" si="7"/>
        <v>0</v>
      </c>
      <c r="J102" s="61"/>
      <c r="K102" s="18" t="s">
        <v>84</v>
      </c>
      <c r="L102" s="18"/>
      <c r="M102" s="18"/>
    </row>
    <row r="103" spans="1:13" s="14" customFormat="1" ht="11.25" x14ac:dyDescent="0.2">
      <c r="A103" s="18"/>
      <c r="B103" s="144"/>
      <c r="C103" s="144"/>
      <c r="D103" s="144"/>
      <c r="E103" s="144"/>
      <c r="F103" s="39">
        <v>2025</v>
      </c>
      <c r="G103" s="26">
        <f>G14+G26+G39+G65+G78+G91</f>
        <v>0</v>
      </c>
      <c r="H103" s="26">
        <f t="shared" si="6"/>
        <v>0</v>
      </c>
      <c r="I103" s="26">
        <f t="shared" si="7"/>
        <v>0</v>
      </c>
      <c r="J103" s="61"/>
      <c r="K103" s="18" t="s">
        <v>84</v>
      </c>
      <c r="L103" s="18"/>
      <c r="M103" s="18"/>
    </row>
    <row r="106" spans="1:13" x14ac:dyDescent="0.25">
      <c r="G106" s="66">
        <f>SUM(G92:G103)</f>
        <v>189261744.76000002</v>
      </c>
      <c r="H106" s="66">
        <f t="shared" ref="H106:I106" si="8">SUM(H92:H103)</f>
        <v>5431095</v>
      </c>
      <c r="I106" s="66">
        <f t="shared" si="8"/>
        <v>183830649.76000002</v>
      </c>
    </row>
  </sheetData>
  <mergeCells count="99">
    <mergeCell ref="B79:E79"/>
    <mergeCell ref="B80:E80"/>
    <mergeCell ref="B76:E76"/>
    <mergeCell ref="B77:E77"/>
    <mergeCell ref="B78:E78"/>
    <mergeCell ref="B66:E66"/>
    <mergeCell ref="B72:E72"/>
    <mergeCell ref="B73:E73"/>
    <mergeCell ref="B74:E74"/>
    <mergeCell ref="B75:E75"/>
    <mergeCell ref="B67:E67"/>
    <mergeCell ref="B68:E68"/>
    <mergeCell ref="B69:E69"/>
    <mergeCell ref="B70:E70"/>
    <mergeCell ref="B71:E71"/>
    <mergeCell ref="B61:E61"/>
    <mergeCell ref="B62:E62"/>
    <mergeCell ref="B63:E63"/>
    <mergeCell ref="B64:E64"/>
    <mergeCell ref="B65:E65"/>
    <mergeCell ref="B60:E60"/>
    <mergeCell ref="B49:E49"/>
    <mergeCell ref="B50:E50"/>
    <mergeCell ref="B51:E51"/>
    <mergeCell ref="B52:E52"/>
    <mergeCell ref="B53:E53"/>
    <mergeCell ref="B54:E54"/>
    <mergeCell ref="B55:E55"/>
    <mergeCell ref="B56:E56"/>
    <mergeCell ref="B57:E57"/>
    <mergeCell ref="B58:E58"/>
    <mergeCell ref="B59:E59"/>
    <mergeCell ref="B48:E48"/>
    <mergeCell ref="B37:E37"/>
    <mergeCell ref="B38:E38"/>
    <mergeCell ref="B39:E39"/>
    <mergeCell ref="B40:E40"/>
    <mergeCell ref="B41:E41"/>
    <mergeCell ref="B42:E42"/>
    <mergeCell ref="B43:E43"/>
    <mergeCell ref="B44:E44"/>
    <mergeCell ref="B45:E45"/>
    <mergeCell ref="B46:E46"/>
    <mergeCell ref="B47:E47"/>
    <mergeCell ref="B22:E22"/>
    <mergeCell ref="B23:E23"/>
    <mergeCell ref="B36:E36"/>
    <mergeCell ref="B25:E25"/>
    <mergeCell ref="B26:E26"/>
    <mergeCell ref="B27:E27"/>
    <mergeCell ref="B28:E28"/>
    <mergeCell ref="B29:E29"/>
    <mergeCell ref="B30:E30"/>
    <mergeCell ref="B31:E31"/>
    <mergeCell ref="B32:E32"/>
    <mergeCell ref="B33:E33"/>
    <mergeCell ref="B34:E34"/>
    <mergeCell ref="B35:E35"/>
    <mergeCell ref="B13:E13"/>
    <mergeCell ref="B14:E14"/>
    <mergeCell ref="B15:E15"/>
    <mergeCell ref="B16:E16"/>
    <mergeCell ref="B17:E17"/>
    <mergeCell ref="K2:M2"/>
    <mergeCell ref="A1:M1"/>
    <mergeCell ref="B7:E7"/>
    <mergeCell ref="B8:E8"/>
    <mergeCell ref="B9:E9"/>
    <mergeCell ref="B12:E12"/>
    <mergeCell ref="B2:E2"/>
    <mergeCell ref="B3:E3"/>
    <mergeCell ref="B4:E4"/>
    <mergeCell ref="B5:E5"/>
    <mergeCell ref="B6:E6"/>
    <mergeCell ref="B10:E10"/>
    <mergeCell ref="B11:E11"/>
    <mergeCell ref="B91:E91"/>
    <mergeCell ref="B92:E103"/>
    <mergeCell ref="B81:E81"/>
    <mergeCell ref="B82:E82"/>
    <mergeCell ref="B83:E83"/>
    <mergeCell ref="B84:E84"/>
    <mergeCell ref="B85:E85"/>
    <mergeCell ref="K79:M79"/>
    <mergeCell ref="B89:E89"/>
    <mergeCell ref="B90:E90"/>
    <mergeCell ref="K15:M15"/>
    <mergeCell ref="K27:M27"/>
    <mergeCell ref="K40:M40"/>
    <mergeCell ref="K53:M53"/>
    <mergeCell ref="K66:M66"/>
    <mergeCell ref="B86:E86"/>
    <mergeCell ref="B87:E87"/>
    <mergeCell ref="B88:E88"/>
    <mergeCell ref="B24:E24"/>
    <mergeCell ref="B18:E18"/>
    <mergeCell ref="B19:E19"/>
    <mergeCell ref="B20:E20"/>
    <mergeCell ref="B21:E21"/>
  </mergeCells>
  <pageMargins left="0.70866141732283472" right="0.70866141732283472" top="0.74803149606299213" bottom="0.74803149606299213" header="0.31496062992125984" footer="0.31496062992125984"/>
  <pageSetup paperSize="9" scale="73" fitToHeight="4"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29"/>
  <sheetViews>
    <sheetView zoomScale="86" zoomScaleNormal="86" workbookViewId="0">
      <selection activeCell="N40" sqref="N40"/>
    </sheetView>
  </sheetViews>
  <sheetFormatPr defaultRowHeight="15" x14ac:dyDescent="0.25"/>
  <cols>
    <col min="5" max="5" width="14.85546875" customWidth="1"/>
    <col min="7" max="7" width="16.28515625" style="66" customWidth="1"/>
    <col min="8" max="8" width="14.28515625" style="66" customWidth="1"/>
    <col min="9" max="9" width="15.7109375" style="66" customWidth="1"/>
  </cols>
  <sheetData>
    <row r="1" spans="1:13" s="1" customFormat="1" x14ac:dyDescent="0.25">
      <c r="A1" s="181" t="s">
        <v>85</v>
      </c>
      <c r="B1" s="182"/>
      <c r="C1" s="182"/>
      <c r="D1" s="182"/>
      <c r="E1" s="182"/>
      <c r="F1" s="182"/>
      <c r="G1" s="182"/>
      <c r="H1" s="182"/>
      <c r="I1" s="182"/>
      <c r="J1" s="182"/>
      <c r="K1" s="182"/>
      <c r="L1" s="182"/>
      <c r="M1" s="183"/>
    </row>
    <row r="2" spans="1:13" s="1" customFormat="1" ht="42" customHeight="1" x14ac:dyDescent="0.25">
      <c r="A2" s="12" t="s">
        <v>86</v>
      </c>
      <c r="B2" s="172" t="s">
        <v>87</v>
      </c>
      <c r="C2" s="173"/>
      <c r="D2" s="173"/>
      <c r="E2" s="173"/>
      <c r="F2" s="49"/>
      <c r="G2" s="65"/>
      <c r="H2" s="65"/>
      <c r="I2" s="65"/>
      <c r="J2" s="2"/>
      <c r="K2" s="178"/>
      <c r="L2" s="179"/>
      <c r="M2" s="180"/>
    </row>
    <row r="3" spans="1:13" s="11" customFormat="1" ht="12.75" x14ac:dyDescent="0.2">
      <c r="A3" s="10"/>
      <c r="B3" s="165" t="s">
        <v>90</v>
      </c>
      <c r="C3" s="165"/>
      <c r="D3" s="165"/>
      <c r="E3" s="165"/>
      <c r="F3" s="48">
        <v>2014</v>
      </c>
      <c r="G3" s="67">
        <f>H3+I3+J3</f>
        <v>0</v>
      </c>
      <c r="H3" s="67"/>
      <c r="I3" s="67"/>
      <c r="J3" s="10"/>
      <c r="K3" s="18" t="s">
        <v>84</v>
      </c>
      <c r="L3" s="10"/>
      <c r="M3" s="10"/>
    </row>
    <row r="4" spans="1:13" s="11" customFormat="1" ht="12.75" x14ac:dyDescent="0.2">
      <c r="A4" s="10"/>
      <c r="B4" s="165" t="s">
        <v>91</v>
      </c>
      <c r="C4" s="165"/>
      <c r="D4" s="165"/>
      <c r="E4" s="165"/>
      <c r="F4" s="48">
        <v>2015</v>
      </c>
      <c r="G4" s="67">
        <f t="shared" ref="G4:G14" si="0">H4+I4+J4</f>
        <v>2100000</v>
      </c>
      <c r="H4" s="67">
        <v>1600000</v>
      </c>
      <c r="I4" s="67">
        <v>500000</v>
      </c>
      <c r="J4" s="10"/>
      <c r="K4" s="18" t="s">
        <v>84</v>
      </c>
      <c r="L4" s="10"/>
      <c r="M4" s="10"/>
    </row>
    <row r="5" spans="1:13" s="11" customFormat="1" ht="19.5" customHeight="1" x14ac:dyDescent="0.2">
      <c r="A5" s="10"/>
      <c r="B5" s="164" t="s">
        <v>102</v>
      </c>
      <c r="C5" s="165"/>
      <c r="D5" s="165"/>
      <c r="E5" s="165"/>
      <c r="F5" s="48">
        <v>2016</v>
      </c>
      <c r="G5" s="67">
        <f t="shared" si="0"/>
        <v>32686699.509999998</v>
      </c>
      <c r="H5" s="67"/>
      <c r="I5" s="67">
        <f>1800000+2200000+165000+2400000+1600000+1700000+1205260.18+2500000+2500000+2100000+2200000+2500000+2100000+2100000+100000+2500000+3016439.33</f>
        <v>32686699.509999998</v>
      </c>
      <c r="J5" s="10"/>
      <c r="K5" s="18" t="s">
        <v>84</v>
      </c>
      <c r="L5" s="10"/>
      <c r="M5" s="10"/>
    </row>
    <row r="6" spans="1:13" s="11" customFormat="1" ht="23.25" customHeight="1" x14ac:dyDescent="0.2">
      <c r="A6" s="10"/>
      <c r="B6" s="164" t="s">
        <v>102</v>
      </c>
      <c r="C6" s="165"/>
      <c r="D6" s="165"/>
      <c r="E6" s="165"/>
      <c r="F6" s="48">
        <v>2017</v>
      </c>
      <c r="G6" s="67">
        <f t="shared" si="0"/>
        <v>49800000</v>
      </c>
      <c r="H6" s="67"/>
      <c r="I6" s="67">
        <f>3300000+3300000+3700000+3300000+5200000+5200000+5200000+3700000+5200000+5200000+5200000+500000+300000+500000</f>
        <v>49800000</v>
      </c>
      <c r="J6" s="10"/>
      <c r="K6" s="18" t="s">
        <v>84</v>
      </c>
      <c r="L6" s="10"/>
      <c r="M6" s="10"/>
    </row>
    <row r="7" spans="1:13" s="11" customFormat="1" ht="22.5" customHeight="1" x14ac:dyDescent="0.2">
      <c r="A7" s="10"/>
      <c r="B7" s="164" t="s">
        <v>102</v>
      </c>
      <c r="C7" s="165"/>
      <c r="D7" s="165"/>
      <c r="E7" s="165"/>
      <c r="F7" s="48">
        <v>2018</v>
      </c>
      <c r="G7" s="67">
        <f t="shared" si="0"/>
        <v>93094801.170000002</v>
      </c>
      <c r="H7" s="67"/>
      <c r="I7" s="67">
        <f>1500000+3000000+3000000+3000000+3000000+3300000+3200000+3500000+3500000+3500000+2500000+2500000+3500000+3500000+3000000+3000000+3500000+500000+2492360+6000000+6000000+8102201.43+10000239.74+8000000</f>
        <v>93094801.170000002</v>
      </c>
      <c r="J7" s="10"/>
      <c r="K7" s="18" t="s">
        <v>84</v>
      </c>
      <c r="L7" s="10"/>
      <c r="M7" s="10"/>
    </row>
    <row r="8" spans="1:13" s="11" customFormat="1" ht="32.25" customHeight="1" x14ac:dyDescent="0.2">
      <c r="A8" s="10"/>
      <c r="B8" s="164" t="s">
        <v>102</v>
      </c>
      <c r="C8" s="165"/>
      <c r="D8" s="165"/>
      <c r="E8" s="165"/>
      <c r="F8" s="48">
        <v>2019</v>
      </c>
      <c r="G8" s="67">
        <f t="shared" si="0"/>
        <v>88099294.680000007</v>
      </c>
      <c r="H8" s="67">
        <v>0</v>
      </c>
      <c r="I8" s="67">
        <f>1200000+800000+120000+540000+1524099+600000+82171195.68+936000+208000</f>
        <v>88099294.680000007</v>
      </c>
      <c r="J8" s="10"/>
      <c r="K8" s="18" t="s">
        <v>84</v>
      </c>
      <c r="L8" s="10"/>
      <c r="M8" s="10"/>
    </row>
    <row r="9" spans="1:13" s="89" customFormat="1" ht="12.75" x14ac:dyDescent="0.2">
      <c r="A9" s="96"/>
      <c r="B9" s="167" t="s">
        <v>102</v>
      </c>
      <c r="C9" s="167"/>
      <c r="D9" s="167"/>
      <c r="E9" s="167"/>
      <c r="F9" s="97">
        <v>2020</v>
      </c>
      <c r="G9" s="98">
        <f t="shared" si="0"/>
        <v>52978403.609999999</v>
      </c>
      <c r="H9" s="98">
        <v>0</v>
      </c>
      <c r="I9" s="98">
        <f>43360417.86+300000+300000+1316000+8081165-379179.25</f>
        <v>52978403.609999999</v>
      </c>
      <c r="J9" s="96"/>
      <c r="K9" s="81" t="s">
        <v>84</v>
      </c>
      <c r="L9" s="96"/>
      <c r="M9" s="96"/>
    </row>
    <row r="10" spans="1:13" s="11" customFormat="1" ht="12.75" x14ac:dyDescent="0.2">
      <c r="A10" s="10"/>
      <c r="B10" s="165" t="s">
        <v>102</v>
      </c>
      <c r="C10" s="165"/>
      <c r="D10" s="165"/>
      <c r="E10" s="165"/>
      <c r="F10" s="48">
        <v>2021</v>
      </c>
      <c r="G10" s="67">
        <f t="shared" si="0"/>
        <v>15411197.75</v>
      </c>
      <c r="H10" s="67">
        <v>0</v>
      </c>
      <c r="I10" s="67">
        <f>3709332.9+11701864.85</f>
        <v>15411197.75</v>
      </c>
      <c r="J10" s="10"/>
      <c r="K10" s="18" t="s">
        <v>84</v>
      </c>
      <c r="L10" s="10"/>
      <c r="M10" s="10"/>
    </row>
    <row r="11" spans="1:13" s="11" customFormat="1" ht="12.75" x14ac:dyDescent="0.2">
      <c r="A11" s="10"/>
      <c r="B11" s="165" t="s">
        <v>102</v>
      </c>
      <c r="C11" s="165"/>
      <c r="D11" s="165"/>
      <c r="E11" s="165"/>
      <c r="F11" s="48">
        <v>2022</v>
      </c>
      <c r="G11" s="67">
        <f t="shared" si="0"/>
        <v>27472800</v>
      </c>
      <c r="H11" s="67">
        <v>0</v>
      </c>
      <c r="I11" s="67">
        <v>27472800</v>
      </c>
      <c r="J11" s="10"/>
      <c r="K11" s="18" t="s">
        <v>84</v>
      </c>
      <c r="L11" s="10"/>
      <c r="M11" s="10"/>
    </row>
    <row r="12" spans="1:13" s="11" customFormat="1" ht="12.75" x14ac:dyDescent="0.2">
      <c r="A12" s="10"/>
      <c r="B12" s="165" t="s">
        <v>102</v>
      </c>
      <c r="C12" s="165"/>
      <c r="D12" s="165"/>
      <c r="E12" s="165"/>
      <c r="F12" s="48">
        <v>2023</v>
      </c>
      <c r="G12" s="67">
        <f t="shared" si="0"/>
        <v>20077224.350000001</v>
      </c>
      <c r="H12" s="67">
        <v>0</v>
      </c>
      <c r="I12" s="67">
        <v>20077224.350000001</v>
      </c>
      <c r="J12" s="10"/>
      <c r="K12" s="18" t="s">
        <v>84</v>
      </c>
      <c r="L12" s="10"/>
      <c r="M12" s="10"/>
    </row>
    <row r="13" spans="1:13" s="11" customFormat="1" ht="12.75" x14ac:dyDescent="0.2">
      <c r="A13" s="10"/>
      <c r="B13" s="133"/>
      <c r="C13" s="126"/>
      <c r="D13" s="126"/>
      <c r="E13" s="127"/>
      <c r="F13" s="48">
        <v>2024</v>
      </c>
      <c r="G13" s="67">
        <f t="shared" si="0"/>
        <v>0</v>
      </c>
      <c r="H13" s="67">
        <v>0</v>
      </c>
      <c r="I13" s="67">
        <v>0</v>
      </c>
      <c r="J13" s="10"/>
      <c r="K13" s="18" t="s">
        <v>84</v>
      </c>
      <c r="L13" s="10"/>
      <c r="M13" s="10"/>
    </row>
    <row r="14" spans="1:13" s="11" customFormat="1" ht="12.75" x14ac:dyDescent="0.2">
      <c r="A14" s="10"/>
      <c r="B14" s="133"/>
      <c r="C14" s="126"/>
      <c r="D14" s="126"/>
      <c r="E14" s="127"/>
      <c r="F14" s="48">
        <v>2025</v>
      </c>
      <c r="G14" s="67">
        <f t="shared" si="0"/>
        <v>0</v>
      </c>
      <c r="H14" s="67">
        <v>0</v>
      </c>
      <c r="I14" s="67">
        <v>0</v>
      </c>
      <c r="J14" s="10"/>
      <c r="K14" s="18" t="s">
        <v>84</v>
      </c>
      <c r="L14" s="10"/>
      <c r="M14" s="10"/>
    </row>
    <row r="15" spans="1:13" s="35" customFormat="1" ht="12.75" x14ac:dyDescent="0.2">
      <c r="A15" s="9"/>
      <c r="B15" s="173" t="s">
        <v>89</v>
      </c>
      <c r="C15" s="173"/>
      <c r="D15" s="173"/>
      <c r="E15" s="173"/>
      <c r="F15" s="50">
        <v>2014</v>
      </c>
      <c r="G15" s="68">
        <f t="shared" ref="G15:I22" si="1">G3</f>
        <v>0</v>
      </c>
      <c r="H15" s="68">
        <f t="shared" si="1"/>
        <v>0</v>
      </c>
      <c r="I15" s="68">
        <f t="shared" si="1"/>
        <v>0</v>
      </c>
      <c r="J15" s="9"/>
      <c r="K15" s="18" t="s">
        <v>84</v>
      </c>
      <c r="L15" s="9"/>
      <c r="M15" s="9"/>
    </row>
    <row r="16" spans="1:13" s="35" customFormat="1" ht="12.75" x14ac:dyDescent="0.2">
      <c r="A16" s="9"/>
      <c r="B16" s="173"/>
      <c r="C16" s="173"/>
      <c r="D16" s="173"/>
      <c r="E16" s="173"/>
      <c r="F16" s="50">
        <v>2015</v>
      </c>
      <c r="G16" s="68">
        <f t="shared" si="1"/>
        <v>2100000</v>
      </c>
      <c r="H16" s="68">
        <f t="shared" si="1"/>
        <v>1600000</v>
      </c>
      <c r="I16" s="68">
        <f t="shared" si="1"/>
        <v>500000</v>
      </c>
      <c r="J16" s="9"/>
      <c r="K16" s="18" t="s">
        <v>84</v>
      </c>
      <c r="L16" s="9"/>
      <c r="M16" s="9"/>
    </row>
    <row r="17" spans="1:13" s="35" customFormat="1" ht="12.75" x14ac:dyDescent="0.2">
      <c r="A17" s="9"/>
      <c r="B17" s="173"/>
      <c r="C17" s="173"/>
      <c r="D17" s="173"/>
      <c r="E17" s="173"/>
      <c r="F17" s="50">
        <v>2016</v>
      </c>
      <c r="G17" s="68">
        <f t="shared" si="1"/>
        <v>32686699.509999998</v>
      </c>
      <c r="H17" s="68">
        <f t="shared" si="1"/>
        <v>0</v>
      </c>
      <c r="I17" s="68">
        <f t="shared" si="1"/>
        <v>32686699.509999998</v>
      </c>
      <c r="J17" s="9"/>
      <c r="K17" s="18" t="s">
        <v>84</v>
      </c>
      <c r="L17" s="9"/>
      <c r="M17" s="9"/>
    </row>
    <row r="18" spans="1:13" s="35" customFormat="1" ht="12.75" x14ac:dyDescent="0.2">
      <c r="A18" s="9"/>
      <c r="B18" s="173"/>
      <c r="C18" s="173"/>
      <c r="D18" s="173"/>
      <c r="E18" s="173"/>
      <c r="F18" s="50">
        <v>2017</v>
      </c>
      <c r="G18" s="68">
        <f t="shared" si="1"/>
        <v>49800000</v>
      </c>
      <c r="H18" s="68">
        <f t="shared" si="1"/>
        <v>0</v>
      </c>
      <c r="I18" s="68">
        <f t="shared" si="1"/>
        <v>49800000</v>
      </c>
      <c r="J18" s="9"/>
      <c r="K18" s="18" t="s">
        <v>84</v>
      </c>
      <c r="L18" s="9"/>
      <c r="M18" s="9"/>
    </row>
    <row r="19" spans="1:13" s="35" customFormat="1" ht="12.75" x14ac:dyDescent="0.2">
      <c r="A19" s="9"/>
      <c r="B19" s="173"/>
      <c r="C19" s="173"/>
      <c r="D19" s="173"/>
      <c r="E19" s="173"/>
      <c r="F19" s="50">
        <v>2018</v>
      </c>
      <c r="G19" s="68">
        <f t="shared" si="1"/>
        <v>93094801.170000002</v>
      </c>
      <c r="H19" s="68">
        <f t="shared" si="1"/>
        <v>0</v>
      </c>
      <c r="I19" s="68">
        <f t="shared" si="1"/>
        <v>93094801.170000002</v>
      </c>
      <c r="J19" s="9"/>
      <c r="K19" s="18" t="s">
        <v>84</v>
      </c>
      <c r="L19" s="9"/>
      <c r="M19" s="9"/>
    </row>
    <row r="20" spans="1:13" s="35" customFormat="1" ht="12.75" x14ac:dyDescent="0.2">
      <c r="A20" s="9"/>
      <c r="B20" s="173"/>
      <c r="C20" s="173"/>
      <c r="D20" s="173"/>
      <c r="E20" s="173"/>
      <c r="F20" s="50">
        <v>2019</v>
      </c>
      <c r="G20" s="68">
        <f t="shared" si="1"/>
        <v>88099294.680000007</v>
      </c>
      <c r="H20" s="68">
        <f t="shared" si="1"/>
        <v>0</v>
      </c>
      <c r="I20" s="68">
        <f t="shared" si="1"/>
        <v>88099294.680000007</v>
      </c>
      <c r="J20" s="9"/>
      <c r="K20" s="18" t="s">
        <v>84</v>
      </c>
      <c r="L20" s="9"/>
      <c r="M20" s="9"/>
    </row>
    <row r="21" spans="1:13" s="35" customFormat="1" ht="12.75" x14ac:dyDescent="0.2">
      <c r="A21" s="9"/>
      <c r="B21" s="173"/>
      <c r="C21" s="173"/>
      <c r="D21" s="173"/>
      <c r="E21" s="173"/>
      <c r="F21" s="50">
        <v>2020</v>
      </c>
      <c r="G21" s="68">
        <f t="shared" si="1"/>
        <v>52978403.609999999</v>
      </c>
      <c r="H21" s="68">
        <f t="shared" si="1"/>
        <v>0</v>
      </c>
      <c r="I21" s="68">
        <f t="shared" si="1"/>
        <v>52978403.609999999</v>
      </c>
      <c r="J21" s="9"/>
      <c r="K21" s="18" t="s">
        <v>84</v>
      </c>
      <c r="L21" s="9"/>
      <c r="M21" s="9"/>
    </row>
    <row r="22" spans="1:13" s="35" customFormat="1" ht="12.75" x14ac:dyDescent="0.2">
      <c r="A22" s="9"/>
      <c r="B22" s="173"/>
      <c r="C22" s="173"/>
      <c r="D22" s="173"/>
      <c r="E22" s="173"/>
      <c r="F22" s="50">
        <v>2021</v>
      </c>
      <c r="G22" s="68">
        <f>G10</f>
        <v>15411197.75</v>
      </c>
      <c r="H22" s="68">
        <f t="shared" si="1"/>
        <v>0</v>
      </c>
      <c r="I22" s="68">
        <f t="shared" si="1"/>
        <v>15411197.75</v>
      </c>
      <c r="J22" s="9"/>
      <c r="K22" s="18" t="s">
        <v>84</v>
      </c>
      <c r="L22" s="9"/>
      <c r="M22" s="9"/>
    </row>
    <row r="23" spans="1:13" s="35" customFormat="1" ht="12.75" x14ac:dyDescent="0.2">
      <c r="A23" s="9"/>
      <c r="B23" s="173"/>
      <c r="C23" s="173"/>
      <c r="D23" s="173"/>
      <c r="E23" s="173"/>
      <c r="F23" s="50">
        <v>2022</v>
      </c>
      <c r="G23" s="68">
        <f>G11</f>
        <v>27472800</v>
      </c>
      <c r="H23" s="68">
        <f t="shared" ref="H23:I26" si="2">H11</f>
        <v>0</v>
      </c>
      <c r="I23" s="68">
        <f t="shared" si="2"/>
        <v>27472800</v>
      </c>
      <c r="J23" s="9"/>
      <c r="K23" s="18" t="s">
        <v>84</v>
      </c>
      <c r="L23" s="9"/>
      <c r="M23" s="9"/>
    </row>
    <row r="24" spans="1:13" s="11" customFormat="1" ht="12.75" x14ac:dyDescent="0.2">
      <c r="A24" s="10"/>
      <c r="B24" s="173"/>
      <c r="C24" s="173"/>
      <c r="D24" s="173"/>
      <c r="E24" s="173"/>
      <c r="F24" s="50">
        <v>2023</v>
      </c>
      <c r="G24" s="68">
        <f>H24+I24</f>
        <v>20077224.350000001</v>
      </c>
      <c r="H24" s="68">
        <f t="shared" si="2"/>
        <v>0</v>
      </c>
      <c r="I24" s="68">
        <f t="shared" si="2"/>
        <v>20077224.350000001</v>
      </c>
      <c r="J24" s="10"/>
      <c r="K24" s="18" t="s">
        <v>84</v>
      </c>
      <c r="L24" s="10"/>
      <c r="M24" s="10"/>
    </row>
    <row r="25" spans="1:13" s="11" customFormat="1" ht="12.75" x14ac:dyDescent="0.2">
      <c r="A25" s="10"/>
      <c r="B25" s="173"/>
      <c r="C25" s="173"/>
      <c r="D25" s="173"/>
      <c r="E25" s="173"/>
      <c r="F25" s="50">
        <v>2024</v>
      </c>
      <c r="G25" s="68">
        <f>G13</f>
        <v>0</v>
      </c>
      <c r="H25" s="68">
        <f t="shared" si="2"/>
        <v>0</v>
      </c>
      <c r="I25" s="68">
        <f t="shared" si="2"/>
        <v>0</v>
      </c>
      <c r="J25" s="10"/>
      <c r="K25" s="18" t="s">
        <v>84</v>
      </c>
      <c r="L25" s="10"/>
      <c r="M25" s="10"/>
    </row>
    <row r="26" spans="1:13" s="11" customFormat="1" ht="12.75" x14ac:dyDescent="0.2">
      <c r="A26" s="10"/>
      <c r="B26" s="173"/>
      <c r="C26" s="173"/>
      <c r="D26" s="173"/>
      <c r="E26" s="173"/>
      <c r="F26" s="50">
        <v>2025</v>
      </c>
      <c r="G26" s="68">
        <f>G14</f>
        <v>0</v>
      </c>
      <c r="H26" s="68">
        <f t="shared" si="2"/>
        <v>0</v>
      </c>
      <c r="I26" s="68">
        <f t="shared" si="2"/>
        <v>0</v>
      </c>
      <c r="J26" s="10"/>
      <c r="K26" s="18" t="s">
        <v>84</v>
      </c>
      <c r="L26" s="10"/>
      <c r="M26" s="10"/>
    </row>
    <row r="29" spans="1:13" x14ac:dyDescent="0.25">
      <c r="G29" s="66">
        <f>SUM(G15:G26)</f>
        <v>381720421.07000005</v>
      </c>
      <c r="H29" s="66">
        <f t="shared" ref="H29:I29" si="3">SUM(H15:H26)</f>
        <v>1600000</v>
      </c>
      <c r="I29" s="66">
        <f t="shared" si="3"/>
        <v>380120421.07000005</v>
      </c>
    </row>
  </sheetData>
  <mergeCells count="16">
    <mergeCell ref="B15:E26"/>
    <mergeCell ref="K2:M2"/>
    <mergeCell ref="A1:M1"/>
    <mergeCell ref="B12:E12"/>
    <mergeCell ref="B13:E13"/>
    <mergeCell ref="B14:E14"/>
    <mergeCell ref="B7:E7"/>
    <mergeCell ref="B8:E8"/>
    <mergeCell ref="B9:E9"/>
    <mergeCell ref="B10:E10"/>
    <mergeCell ref="B11:E11"/>
    <mergeCell ref="B2:E2"/>
    <mergeCell ref="B3:E3"/>
    <mergeCell ref="B4:E4"/>
    <mergeCell ref="B5:E5"/>
    <mergeCell ref="B6:E6"/>
  </mergeCells>
  <pageMargins left="0.70866141732283472" right="0.70866141732283472" top="0.74803149606299213" bottom="0.74803149606299213" header="0.31496062992125984" footer="0.31496062992125984"/>
  <pageSetup paperSize="9" scale="91"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270"/>
  <sheetViews>
    <sheetView tabSelected="1" workbookViewId="0">
      <selection activeCell="G273" sqref="G273"/>
    </sheetView>
  </sheetViews>
  <sheetFormatPr defaultRowHeight="15" x14ac:dyDescent="0.25"/>
  <cols>
    <col min="1" max="1" width="7.42578125" style="1" customWidth="1"/>
    <col min="2" max="2" width="9.140625" style="34" customWidth="1"/>
    <col min="3" max="4" width="9.140625" style="34"/>
    <col min="5" max="5" width="25.28515625" style="34" customWidth="1"/>
    <col min="6" max="6" width="11.7109375" style="52" customWidth="1"/>
    <col min="7" max="7" width="17.140625" style="1" customWidth="1"/>
    <col min="8" max="8" width="13.85546875" style="1" customWidth="1"/>
    <col min="9" max="9" width="17.7109375" style="1" customWidth="1"/>
    <col min="10" max="10" width="14.28515625" style="1" customWidth="1"/>
    <col min="11" max="11" width="31.7109375" style="1" customWidth="1"/>
    <col min="12" max="12" width="9.7109375" style="1" customWidth="1"/>
    <col min="13" max="16384" width="9.140625" style="1"/>
  </cols>
  <sheetData>
    <row r="1" spans="1:12" ht="65.25" customHeight="1" x14ac:dyDescent="0.25">
      <c r="A1" s="11"/>
      <c r="B1" s="30"/>
      <c r="C1" s="30"/>
      <c r="D1" s="30"/>
      <c r="E1" s="30"/>
      <c r="F1" s="47"/>
      <c r="G1" s="11"/>
      <c r="H1" s="11"/>
      <c r="I1" s="11"/>
      <c r="J1" s="192"/>
      <c r="K1" s="192"/>
      <c r="L1" s="3"/>
    </row>
    <row r="2" spans="1:12" x14ac:dyDescent="0.25">
      <c r="A2" s="11"/>
      <c r="B2" s="30"/>
      <c r="C2" s="30"/>
      <c r="D2" s="30"/>
      <c r="E2" s="30"/>
      <c r="F2" s="47"/>
      <c r="G2" s="11"/>
      <c r="H2" s="11"/>
      <c r="I2" s="11"/>
      <c r="J2" s="11"/>
      <c r="K2" s="11" t="s">
        <v>16</v>
      </c>
    </row>
    <row r="3" spans="1:12" ht="30.75" customHeight="1" x14ac:dyDescent="0.25">
      <c r="A3" s="193" t="s">
        <v>109</v>
      </c>
      <c r="B3" s="194"/>
      <c r="C3" s="194"/>
      <c r="D3" s="194"/>
      <c r="E3" s="194"/>
      <c r="F3" s="194"/>
      <c r="G3" s="194"/>
      <c r="H3" s="194"/>
      <c r="I3" s="194"/>
      <c r="J3" s="194"/>
      <c r="K3" s="104" t="s">
        <v>7</v>
      </c>
      <c r="L3" s="14"/>
    </row>
    <row r="4" spans="1:12" ht="52.5" customHeight="1" x14ac:dyDescent="0.25">
      <c r="A4" s="195" t="s">
        <v>0</v>
      </c>
      <c r="B4" s="143" t="s">
        <v>1</v>
      </c>
      <c r="C4" s="143"/>
      <c r="D4" s="143"/>
      <c r="E4" s="143"/>
      <c r="F4" s="196" t="s">
        <v>12</v>
      </c>
      <c r="G4" s="195" t="s">
        <v>5</v>
      </c>
      <c r="H4" s="195"/>
      <c r="I4" s="195"/>
      <c r="J4" s="195"/>
      <c r="K4" s="190"/>
      <c r="L4" s="14"/>
    </row>
    <row r="5" spans="1:12" ht="21" x14ac:dyDescent="0.25">
      <c r="A5" s="195"/>
      <c r="B5" s="143"/>
      <c r="C5" s="143"/>
      <c r="D5" s="143"/>
      <c r="E5" s="143"/>
      <c r="F5" s="196"/>
      <c r="G5" s="15" t="s">
        <v>2</v>
      </c>
      <c r="H5" s="15" t="s">
        <v>3</v>
      </c>
      <c r="I5" s="15" t="s">
        <v>4</v>
      </c>
      <c r="J5" s="16" t="s">
        <v>6</v>
      </c>
      <c r="K5" s="191"/>
      <c r="L5" s="14"/>
    </row>
    <row r="6" spans="1:12" ht="28.5" hidden="1" customHeight="1" x14ac:dyDescent="0.25">
      <c r="A6" s="101" t="s">
        <v>97</v>
      </c>
      <c r="B6" s="141"/>
      <c r="C6" s="141"/>
      <c r="D6" s="141"/>
      <c r="E6" s="141"/>
      <c r="F6" s="141"/>
      <c r="G6" s="141"/>
      <c r="H6" s="141"/>
      <c r="I6" s="141"/>
      <c r="J6" s="141"/>
      <c r="K6" s="142"/>
      <c r="L6" s="14"/>
    </row>
    <row r="7" spans="1:12" hidden="1" x14ac:dyDescent="0.25">
      <c r="A7" s="140" t="s">
        <v>8</v>
      </c>
      <c r="B7" s="141"/>
      <c r="C7" s="141"/>
      <c r="D7" s="141"/>
      <c r="E7" s="141"/>
      <c r="F7" s="141"/>
      <c r="G7" s="141"/>
      <c r="H7" s="141"/>
      <c r="I7" s="141"/>
      <c r="J7" s="141"/>
      <c r="K7" s="142"/>
      <c r="L7" s="14"/>
    </row>
    <row r="8" spans="1:12" ht="46.5" hidden="1" customHeight="1" x14ac:dyDescent="0.25">
      <c r="A8" s="17" t="s">
        <v>9</v>
      </c>
      <c r="B8" s="143" t="s">
        <v>25</v>
      </c>
      <c r="C8" s="144"/>
      <c r="D8" s="144"/>
      <c r="E8" s="144"/>
      <c r="F8" s="19"/>
      <c r="G8" s="18"/>
      <c r="H8" s="18"/>
      <c r="I8" s="18"/>
      <c r="J8" s="18"/>
      <c r="K8" s="18"/>
      <c r="L8" s="14"/>
    </row>
    <row r="9" spans="1:12" ht="29.25" hidden="1" customHeight="1" x14ac:dyDescent="0.25">
      <c r="A9" s="17"/>
      <c r="B9" s="145" t="s">
        <v>10</v>
      </c>
      <c r="C9" s="146"/>
      <c r="D9" s="146"/>
      <c r="E9" s="146"/>
      <c r="F9" s="19">
        <v>2014</v>
      </c>
      <c r="G9" s="19">
        <f>H9+I9+J9</f>
        <v>1150.43</v>
      </c>
      <c r="H9" s="19">
        <v>1127.42</v>
      </c>
      <c r="I9" s="19">
        <v>23.01</v>
      </c>
      <c r="J9" s="19">
        <v>0</v>
      </c>
      <c r="K9" s="20" t="s">
        <v>84</v>
      </c>
      <c r="L9" s="14"/>
    </row>
    <row r="10" spans="1:12" ht="38.25" hidden="1" customHeight="1" x14ac:dyDescent="0.25">
      <c r="A10" s="17"/>
      <c r="B10" s="145" t="s">
        <v>11</v>
      </c>
      <c r="C10" s="146"/>
      <c r="D10" s="146"/>
      <c r="E10" s="146"/>
      <c r="F10" s="19">
        <v>2015</v>
      </c>
      <c r="G10" s="19">
        <f t="shared" ref="G10:G69" si="0">H10+I10+J10</f>
        <v>192.33680000000001</v>
      </c>
      <c r="H10" s="19">
        <v>189.47</v>
      </c>
      <c r="I10" s="19">
        <v>2.8668</v>
      </c>
      <c r="J10" s="19">
        <v>0</v>
      </c>
      <c r="K10" s="20" t="s">
        <v>84</v>
      </c>
      <c r="L10" s="14"/>
    </row>
    <row r="11" spans="1:12" ht="28.5" hidden="1" customHeight="1" x14ac:dyDescent="0.25">
      <c r="A11" s="17"/>
      <c r="B11" s="145" t="s">
        <v>13</v>
      </c>
      <c r="C11" s="146"/>
      <c r="D11" s="146"/>
      <c r="E11" s="146"/>
      <c r="F11" s="19">
        <v>2016</v>
      </c>
      <c r="G11" s="19">
        <f>H11+I11+J11</f>
        <v>507</v>
      </c>
      <c r="H11" s="19">
        <v>98.96</v>
      </c>
      <c r="I11" s="19">
        <v>408.04</v>
      </c>
      <c r="J11" s="19">
        <v>0</v>
      </c>
      <c r="K11" s="20" t="s">
        <v>84</v>
      </c>
      <c r="L11" s="14"/>
    </row>
    <row r="12" spans="1:12" ht="27" hidden="1" customHeight="1" x14ac:dyDescent="0.25">
      <c r="A12" s="17"/>
      <c r="B12" s="145" t="s">
        <v>14</v>
      </c>
      <c r="C12" s="146"/>
      <c r="D12" s="146"/>
      <c r="E12" s="146"/>
      <c r="F12" s="19">
        <v>2017</v>
      </c>
      <c r="G12" s="19">
        <f t="shared" si="0"/>
        <v>1238.92</v>
      </c>
      <c r="H12" s="19">
        <v>675.19</v>
      </c>
      <c r="I12" s="19">
        <v>563.73</v>
      </c>
      <c r="J12" s="19">
        <v>0</v>
      </c>
      <c r="K12" s="20" t="s">
        <v>84</v>
      </c>
      <c r="L12" s="14"/>
    </row>
    <row r="13" spans="1:12" ht="24" hidden="1" customHeight="1" x14ac:dyDescent="0.25">
      <c r="A13" s="17"/>
      <c r="B13" s="145" t="s">
        <v>14</v>
      </c>
      <c r="C13" s="146"/>
      <c r="D13" s="146"/>
      <c r="E13" s="146"/>
      <c r="F13" s="147">
        <v>2018</v>
      </c>
      <c r="G13" s="19">
        <f t="shared" si="0"/>
        <v>687.83600000000001</v>
      </c>
      <c r="H13" s="19">
        <v>674.08</v>
      </c>
      <c r="I13" s="19">
        <v>13.756</v>
      </c>
      <c r="J13" s="19">
        <v>0</v>
      </c>
      <c r="K13" s="20" t="s">
        <v>84</v>
      </c>
      <c r="L13" s="14"/>
    </row>
    <row r="14" spans="1:12" ht="18.75" hidden="1" customHeight="1" x14ac:dyDescent="0.25">
      <c r="A14" s="17"/>
      <c r="B14" s="137" t="s">
        <v>15</v>
      </c>
      <c r="C14" s="138"/>
      <c r="D14" s="138"/>
      <c r="E14" s="139"/>
      <c r="F14" s="148"/>
      <c r="G14" s="19">
        <f t="shared" si="0"/>
        <v>1200</v>
      </c>
      <c r="H14" s="19">
        <v>0</v>
      </c>
      <c r="I14" s="19">
        <v>1200</v>
      </c>
      <c r="J14" s="19">
        <v>0</v>
      </c>
      <c r="K14" s="20" t="s">
        <v>84</v>
      </c>
      <c r="L14" s="14"/>
    </row>
    <row r="15" spans="1:12" ht="18" hidden="1" customHeight="1" x14ac:dyDescent="0.25">
      <c r="A15" s="17"/>
      <c r="B15" s="145" t="s">
        <v>17</v>
      </c>
      <c r="C15" s="146"/>
      <c r="D15" s="146"/>
      <c r="E15" s="146"/>
      <c r="F15" s="19">
        <v>2019</v>
      </c>
      <c r="G15" s="19">
        <f t="shared" si="0"/>
        <v>451.87754999999999</v>
      </c>
      <c r="H15" s="19">
        <v>442.84</v>
      </c>
      <c r="I15" s="19">
        <v>9.0375499999999995</v>
      </c>
      <c r="J15" s="19">
        <v>0</v>
      </c>
      <c r="K15" s="20" t="s">
        <v>84</v>
      </c>
      <c r="L15" s="14"/>
    </row>
    <row r="16" spans="1:12" ht="24" hidden="1" customHeight="1" x14ac:dyDescent="0.25">
      <c r="A16" s="17"/>
      <c r="B16" s="157" t="s">
        <v>18</v>
      </c>
      <c r="C16" s="158"/>
      <c r="D16" s="158"/>
      <c r="E16" s="158"/>
      <c r="F16" s="147">
        <v>2020</v>
      </c>
      <c r="G16" s="19">
        <f t="shared" si="0"/>
        <v>5000</v>
      </c>
      <c r="H16" s="19">
        <v>0</v>
      </c>
      <c r="I16" s="19">
        <v>5000</v>
      </c>
      <c r="J16" s="19">
        <v>0</v>
      </c>
      <c r="K16" s="20" t="s">
        <v>84</v>
      </c>
      <c r="L16" s="14"/>
    </row>
    <row r="17" spans="1:12" hidden="1" x14ac:dyDescent="0.25">
      <c r="A17" s="17"/>
      <c r="B17" s="134" t="s">
        <v>19</v>
      </c>
      <c r="C17" s="135"/>
      <c r="D17" s="135"/>
      <c r="E17" s="136"/>
      <c r="F17" s="159"/>
      <c r="G17" s="19">
        <f t="shared" si="0"/>
        <v>300</v>
      </c>
      <c r="H17" s="19">
        <v>0</v>
      </c>
      <c r="I17" s="19">
        <v>300</v>
      </c>
      <c r="J17" s="19">
        <v>0</v>
      </c>
      <c r="K17" s="20" t="s">
        <v>84</v>
      </c>
      <c r="L17" s="14"/>
    </row>
    <row r="18" spans="1:12" hidden="1" x14ac:dyDescent="0.25">
      <c r="A18" s="17"/>
      <c r="B18" s="134" t="s">
        <v>20</v>
      </c>
      <c r="C18" s="135"/>
      <c r="D18" s="135"/>
      <c r="E18" s="136"/>
      <c r="F18" s="159"/>
      <c r="G18" s="19">
        <f t="shared" si="0"/>
        <v>20</v>
      </c>
      <c r="H18" s="19">
        <v>0</v>
      </c>
      <c r="I18" s="19">
        <v>20</v>
      </c>
      <c r="J18" s="19">
        <v>0</v>
      </c>
      <c r="K18" s="20" t="s">
        <v>84</v>
      </c>
      <c r="L18" s="14"/>
    </row>
    <row r="19" spans="1:12" ht="27" hidden="1" customHeight="1" x14ac:dyDescent="0.25">
      <c r="A19" s="17"/>
      <c r="B19" s="134" t="s">
        <v>21</v>
      </c>
      <c r="C19" s="135"/>
      <c r="D19" s="135"/>
      <c r="E19" s="136"/>
      <c r="F19" s="148"/>
      <c r="G19" s="19">
        <f t="shared" si="0"/>
        <v>281.39795999999996</v>
      </c>
      <c r="H19" s="19">
        <v>275.77</v>
      </c>
      <c r="I19" s="19">
        <v>5.6279599999999999</v>
      </c>
      <c r="J19" s="19">
        <v>0</v>
      </c>
      <c r="K19" s="20" t="s">
        <v>84</v>
      </c>
      <c r="L19" s="14"/>
    </row>
    <row r="20" spans="1:12" ht="31.5" hidden="1" customHeight="1" x14ac:dyDescent="0.25">
      <c r="A20" s="17"/>
      <c r="B20" s="157" t="s">
        <v>22</v>
      </c>
      <c r="C20" s="158"/>
      <c r="D20" s="158"/>
      <c r="E20" s="158"/>
      <c r="F20" s="147">
        <v>2021</v>
      </c>
      <c r="G20" s="19">
        <f t="shared" si="0"/>
        <v>5000</v>
      </c>
      <c r="H20" s="19">
        <v>0</v>
      </c>
      <c r="I20" s="19">
        <v>5000</v>
      </c>
      <c r="J20" s="19">
        <v>0</v>
      </c>
      <c r="K20" s="20" t="s">
        <v>84</v>
      </c>
      <c r="L20" s="14"/>
    </row>
    <row r="21" spans="1:12" hidden="1" x14ac:dyDescent="0.25">
      <c r="A21" s="17"/>
      <c r="B21" s="134" t="s">
        <v>19</v>
      </c>
      <c r="C21" s="135"/>
      <c r="D21" s="135"/>
      <c r="E21" s="136"/>
      <c r="F21" s="159"/>
      <c r="G21" s="19">
        <f t="shared" si="0"/>
        <v>300</v>
      </c>
      <c r="H21" s="19">
        <v>0</v>
      </c>
      <c r="I21" s="19">
        <v>300</v>
      </c>
      <c r="J21" s="19">
        <v>0</v>
      </c>
      <c r="K21" s="20" t="s">
        <v>84</v>
      </c>
      <c r="L21" s="14"/>
    </row>
    <row r="22" spans="1:12" hidden="1" x14ac:dyDescent="0.25">
      <c r="A22" s="17"/>
      <c r="B22" s="134" t="s">
        <v>20</v>
      </c>
      <c r="C22" s="135"/>
      <c r="D22" s="135"/>
      <c r="E22" s="136"/>
      <c r="F22" s="159"/>
      <c r="G22" s="19">
        <f t="shared" si="0"/>
        <v>20</v>
      </c>
      <c r="H22" s="19">
        <v>0</v>
      </c>
      <c r="I22" s="19">
        <v>20</v>
      </c>
      <c r="J22" s="19">
        <v>0</v>
      </c>
      <c r="K22" s="20" t="s">
        <v>84</v>
      </c>
      <c r="L22" s="14"/>
    </row>
    <row r="23" spans="1:12" ht="30.75" hidden="1" customHeight="1" x14ac:dyDescent="0.25">
      <c r="A23" s="17"/>
      <c r="B23" s="134" t="s">
        <v>21</v>
      </c>
      <c r="C23" s="135"/>
      <c r="D23" s="135"/>
      <c r="E23" s="136"/>
      <c r="F23" s="148"/>
      <c r="G23" s="19">
        <f t="shared" si="0"/>
        <v>209.48</v>
      </c>
      <c r="H23" s="19">
        <v>205.29</v>
      </c>
      <c r="I23" s="19">
        <v>4.1900000000000004</v>
      </c>
      <c r="J23" s="19">
        <v>0</v>
      </c>
      <c r="K23" s="20" t="s">
        <v>84</v>
      </c>
      <c r="L23" s="14"/>
    </row>
    <row r="24" spans="1:12" ht="29.25" hidden="1" customHeight="1" x14ac:dyDescent="0.25">
      <c r="A24" s="17"/>
      <c r="B24" s="157" t="s">
        <v>23</v>
      </c>
      <c r="C24" s="158"/>
      <c r="D24" s="158"/>
      <c r="E24" s="158"/>
      <c r="F24" s="147">
        <v>2022</v>
      </c>
      <c r="G24" s="19">
        <f t="shared" si="0"/>
        <v>5000</v>
      </c>
      <c r="H24" s="19">
        <v>0</v>
      </c>
      <c r="I24" s="19">
        <v>5000</v>
      </c>
      <c r="J24" s="19">
        <v>0</v>
      </c>
      <c r="K24" s="20" t="s">
        <v>84</v>
      </c>
      <c r="L24" s="14"/>
    </row>
    <row r="25" spans="1:12" ht="32.25" hidden="1" customHeight="1" x14ac:dyDescent="0.25">
      <c r="A25" s="17"/>
      <c r="B25" s="134" t="s">
        <v>21</v>
      </c>
      <c r="C25" s="135"/>
      <c r="D25" s="135"/>
      <c r="E25" s="136"/>
      <c r="F25" s="159"/>
      <c r="G25" s="19">
        <f t="shared" si="0"/>
        <v>139.65300000000002</v>
      </c>
      <c r="H25" s="19">
        <v>136.86000000000001</v>
      </c>
      <c r="I25" s="19">
        <v>2.7930000000000001</v>
      </c>
      <c r="J25" s="19">
        <v>0</v>
      </c>
      <c r="K25" s="20" t="s">
        <v>84</v>
      </c>
      <c r="L25" s="14"/>
    </row>
    <row r="26" spans="1:12" hidden="1" x14ac:dyDescent="0.25">
      <c r="A26" s="17"/>
      <c r="B26" s="134" t="s">
        <v>19</v>
      </c>
      <c r="C26" s="135"/>
      <c r="D26" s="135"/>
      <c r="E26" s="136"/>
      <c r="F26" s="159"/>
      <c r="G26" s="19">
        <f t="shared" si="0"/>
        <v>300</v>
      </c>
      <c r="H26" s="19">
        <v>0</v>
      </c>
      <c r="I26" s="19">
        <v>300</v>
      </c>
      <c r="J26" s="19">
        <v>0</v>
      </c>
      <c r="K26" s="20" t="s">
        <v>84</v>
      </c>
      <c r="L26" s="14"/>
    </row>
    <row r="27" spans="1:12" hidden="1" x14ac:dyDescent="0.25">
      <c r="A27" s="17"/>
      <c r="B27" s="134" t="s">
        <v>20</v>
      </c>
      <c r="C27" s="135"/>
      <c r="D27" s="135"/>
      <c r="E27" s="136"/>
      <c r="F27" s="148"/>
      <c r="G27" s="19">
        <f t="shared" si="0"/>
        <v>20</v>
      </c>
      <c r="H27" s="19">
        <v>0</v>
      </c>
      <c r="I27" s="19">
        <v>20</v>
      </c>
      <c r="J27" s="19">
        <v>0</v>
      </c>
      <c r="K27" s="20" t="s">
        <v>84</v>
      </c>
      <c r="L27" s="14"/>
    </row>
    <row r="28" spans="1:12" hidden="1" x14ac:dyDescent="0.25">
      <c r="A28" s="17"/>
      <c r="B28" s="123" t="str">
        <f>'Энергосбережение и повышение'!B28:E28</f>
        <v xml:space="preserve">Капитальный ремонт сетей теплоснабжения ул. Черемушки (с опускание труб под землю) </v>
      </c>
      <c r="C28" s="124"/>
      <c r="D28" s="124"/>
      <c r="E28" s="125"/>
      <c r="F28" s="37">
        <v>2023</v>
      </c>
      <c r="G28" s="19">
        <f>'Энергосбережение и повышение'!G28</f>
        <v>5000</v>
      </c>
      <c r="H28" s="19">
        <f>'Энергосбережение и повышение'!H28</f>
        <v>0</v>
      </c>
      <c r="I28" s="19">
        <f>'Энергосбережение и повышение'!I28</f>
        <v>5000000</v>
      </c>
      <c r="J28" s="19">
        <f>'Энергосбережение и повышение'!J28</f>
        <v>0</v>
      </c>
      <c r="K28" s="20" t="s">
        <v>84</v>
      </c>
      <c r="L28" s="14"/>
    </row>
    <row r="29" spans="1:12" hidden="1" x14ac:dyDescent="0.25">
      <c r="A29" s="17"/>
      <c r="B29" s="123">
        <f>'Энергосбережение и повышение'!B30:E30</f>
        <v>0</v>
      </c>
      <c r="C29" s="124"/>
      <c r="D29" s="124"/>
      <c r="E29" s="125"/>
      <c r="F29" s="37">
        <v>2024</v>
      </c>
      <c r="G29" s="19">
        <f>'Энергосбережение и повышение'!G30</f>
        <v>0</v>
      </c>
      <c r="H29" s="19"/>
      <c r="I29" s="19"/>
      <c r="J29" s="19"/>
      <c r="K29" s="20" t="s">
        <v>84</v>
      </c>
      <c r="L29" s="14"/>
    </row>
    <row r="30" spans="1:12" hidden="1" x14ac:dyDescent="0.25">
      <c r="A30" s="17"/>
      <c r="B30" s="123">
        <f>'Энергосбережение и повышение'!B31:E31</f>
        <v>0</v>
      </c>
      <c r="C30" s="124"/>
      <c r="D30" s="124"/>
      <c r="E30" s="125"/>
      <c r="F30" s="37">
        <v>2025</v>
      </c>
      <c r="G30" s="19">
        <f>'Энергосбережение и повышение'!G31</f>
        <v>0</v>
      </c>
      <c r="H30" s="19"/>
      <c r="I30" s="19"/>
      <c r="J30" s="19"/>
      <c r="K30" s="20" t="s">
        <v>84</v>
      </c>
      <c r="L30" s="14"/>
    </row>
    <row r="31" spans="1:12" ht="63" hidden="1" customHeight="1" x14ac:dyDescent="0.25">
      <c r="A31" s="17" t="s">
        <v>24</v>
      </c>
      <c r="B31" s="120" t="s">
        <v>26</v>
      </c>
      <c r="C31" s="128"/>
      <c r="D31" s="128"/>
      <c r="E31" s="129"/>
      <c r="F31" s="37"/>
      <c r="G31" s="19"/>
      <c r="H31" s="19"/>
      <c r="I31" s="19"/>
      <c r="J31" s="19"/>
      <c r="K31" s="20" t="s">
        <v>84</v>
      </c>
      <c r="L31" s="14"/>
    </row>
    <row r="32" spans="1:12" hidden="1" x14ac:dyDescent="0.25">
      <c r="A32" s="17"/>
      <c r="B32" s="123"/>
      <c r="C32" s="124"/>
      <c r="D32" s="124"/>
      <c r="E32" s="125"/>
      <c r="F32" s="37">
        <v>2014</v>
      </c>
      <c r="G32" s="19">
        <f t="shared" si="0"/>
        <v>0</v>
      </c>
      <c r="H32" s="19">
        <v>0</v>
      </c>
      <c r="I32" s="19">
        <v>0</v>
      </c>
      <c r="J32" s="19">
        <v>0</v>
      </c>
      <c r="K32" s="20" t="s">
        <v>84</v>
      </c>
      <c r="L32" s="14"/>
    </row>
    <row r="33" spans="1:12" hidden="1" x14ac:dyDescent="0.25">
      <c r="A33" s="17"/>
      <c r="B33" s="123"/>
      <c r="C33" s="124"/>
      <c r="D33" s="124"/>
      <c r="E33" s="125"/>
      <c r="F33" s="37">
        <v>2015</v>
      </c>
      <c r="G33" s="19">
        <f t="shared" si="0"/>
        <v>0</v>
      </c>
      <c r="H33" s="19">
        <v>0</v>
      </c>
      <c r="I33" s="19">
        <v>0</v>
      </c>
      <c r="J33" s="19">
        <v>0</v>
      </c>
      <c r="K33" s="20" t="s">
        <v>84</v>
      </c>
      <c r="L33" s="14"/>
    </row>
    <row r="34" spans="1:12" hidden="1" x14ac:dyDescent="0.25">
      <c r="A34" s="17"/>
      <c r="B34" s="123"/>
      <c r="C34" s="124"/>
      <c r="D34" s="124"/>
      <c r="E34" s="125"/>
      <c r="F34" s="37">
        <v>2016</v>
      </c>
      <c r="G34" s="19">
        <f t="shared" si="0"/>
        <v>1200</v>
      </c>
      <c r="H34" s="19">
        <v>0</v>
      </c>
      <c r="I34" s="19">
        <v>1200</v>
      </c>
      <c r="J34" s="19">
        <v>0</v>
      </c>
      <c r="K34" s="20" t="s">
        <v>84</v>
      </c>
      <c r="L34" s="14"/>
    </row>
    <row r="35" spans="1:12" hidden="1" x14ac:dyDescent="0.25">
      <c r="A35" s="17"/>
      <c r="B35" s="123"/>
      <c r="C35" s="124"/>
      <c r="D35" s="124"/>
      <c r="E35" s="125"/>
      <c r="F35" s="37">
        <v>2017</v>
      </c>
      <c r="G35" s="19">
        <f t="shared" si="0"/>
        <v>5000</v>
      </c>
      <c r="H35" s="19">
        <v>0</v>
      </c>
      <c r="I35" s="19">
        <v>5000</v>
      </c>
      <c r="J35" s="19">
        <v>0</v>
      </c>
      <c r="K35" s="20" t="s">
        <v>84</v>
      </c>
      <c r="L35" s="14"/>
    </row>
    <row r="36" spans="1:12" ht="282.75" hidden="1" customHeight="1" x14ac:dyDescent="0.25">
      <c r="A36" s="17"/>
      <c r="B36" s="123" t="s">
        <v>27</v>
      </c>
      <c r="C36" s="124"/>
      <c r="D36" s="124"/>
      <c r="E36" s="125"/>
      <c r="F36" s="37">
        <v>2018</v>
      </c>
      <c r="G36" s="19">
        <f t="shared" si="0"/>
        <v>1262.55</v>
      </c>
      <c r="H36" s="19">
        <v>0</v>
      </c>
      <c r="I36" s="21">
        <v>1262.55</v>
      </c>
      <c r="J36" s="19">
        <v>0</v>
      </c>
      <c r="K36" s="20" t="s">
        <v>84</v>
      </c>
      <c r="L36" s="14"/>
    </row>
    <row r="37" spans="1:12" ht="133.5" hidden="1" customHeight="1" x14ac:dyDescent="0.25">
      <c r="A37" s="17"/>
      <c r="B37" s="123" t="s">
        <v>28</v>
      </c>
      <c r="C37" s="124"/>
      <c r="D37" s="124"/>
      <c r="E37" s="125"/>
      <c r="F37" s="37">
        <v>2019</v>
      </c>
      <c r="G37" s="19">
        <f t="shared" si="0"/>
        <v>1245</v>
      </c>
      <c r="H37" s="19">
        <v>0</v>
      </c>
      <c r="I37" s="22">
        <v>1245</v>
      </c>
      <c r="J37" s="19">
        <v>0</v>
      </c>
      <c r="K37" s="20" t="s">
        <v>84</v>
      </c>
      <c r="L37" s="14"/>
    </row>
    <row r="38" spans="1:12" ht="13.5" hidden="1" customHeight="1" x14ac:dyDescent="0.25">
      <c r="A38" s="17"/>
      <c r="B38" s="123" t="str">
        <f>'Энергосбережение и повышение'!B39:E39</f>
        <v xml:space="preserve">Выполнение кадастровых работ с целью подготовки охранной зоны сооружений ГВС и ХВС  </v>
      </c>
      <c r="C38" s="124"/>
      <c r="D38" s="124"/>
      <c r="E38" s="125"/>
      <c r="F38" s="37">
        <v>2020</v>
      </c>
      <c r="G38" s="22">
        <f>H38+I38+J38</f>
        <v>485000</v>
      </c>
      <c r="H38" s="19">
        <f>'Энергосбережение и повышение'!H39</f>
        <v>0</v>
      </c>
      <c r="I38" s="22">
        <f>'Энергосбережение и повышение'!I39</f>
        <v>485000</v>
      </c>
      <c r="J38" s="19">
        <f>'Энергосбережение и повышение'!J39</f>
        <v>0</v>
      </c>
      <c r="K38" s="20" t="s">
        <v>84</v>
      </c>
      <c r="L38" s="14"/>
    </row>
    <row r="39" spans="1:12" ht="13.5" hidden="1" customHeight="1" x14ac:dyDescent="0.25">
      <c r="A39" s="17"/>
      <c r="B39" s="123">
        <f>'Энергосбережение и повышение'!B40:E40</f>
        <v>0</v>
      </c>
      <c r="C39" s="124"/>
      <c r="D39" s="124"/>
      <c r="E39" s="125"/>
      <c r="F39" s="37">
        <v>2021</v>
      </c>
      <c r="G39" s="19">
        <f t="shared" si="0"/>
        <v>0</v>
      </c>
      <c r="H39" s="19"/>
      <c r="I39" s="22"/>
      <c r="J39" s="19"/>
      <c r="K39" s="20" t="s">
        <v>84</v>
      </c>
      <c r="L39" s="14"/>
    </row>
    <row r="40" spans="1:12" ht="13.5" hidden="1" customHeight="1" x14ac:dyDescent="0.25">
      <c r="A40" s="17"/>
      <c r="B40" s="123">
        <f>'Энергосбережение и повышение'!B41:E41</f>
        <v>0</v>
      </c>
      <c r="C40" s="124"/>
      <c r="D40" s="124"/>
      <c r="E40" s="125"/>
      <c r="F40" s="37">
        <v>2022</v>
      </c>
      <c r="G40" s="19">
        <f t="shared" si="0"/>
        <v>0</v>
      </c>
      <c r="H40" s="19"/>
      <c r="I40" s="22"/>
      <c r="J40" s="19"/>
      <c r="K40" s="20" t="s">
        <v>84</v>
      </c>
      <c r="L40" s="14"/>
    </row>
    <row r="41" spans="1:12" ht="13.5" hidden="1" customHeight="1" x14ac:dyDescent="0.25">
      <c r="A41" s="17"/>
      <c r="B41" s="123">
        <f>'Энергосбережение и повышение'!B42:E42</f>
        <v>0</v>
      </c>
      <c r="C41" s="124"/>
      <c r="D41" s="124"/>
      <c r="E41" s="125"/>
      <c r="F41" s="37">
        <v>2023</v>
      </c>
      <c r="G41" s="19"/>
      <c r="H41" s="19"/>
      <c r="I41" s="22"/>
      <c r="J41" s="19"/>
      <c r="K41" s="20" t="s">
        <v>84</v>
      </c>
      <c r="L41" s="14"/>
    </row>
    <row r="42" spans="1:12" ht="13.5" hidden="1" customHeight="1" x14ac:dyDescent="0.25">
      <c r="A42" s="17"/>
      <c r="B42" s="123">
        <f>'Энергосбережение и повышение'!B43:E43</f>
        <v>0</v>
      </c>
      <c r="C42" s="124"/>
      <c r="D42" s="124"/>
      <c r="E42" s="125"/>
      <c r="F42" s="37">
        <v>2024</v>
      </c>
      <c r="G42" s="19"/>
      <c r="H42" s="19"/>
      <c r="I42" s="22"/>
      <c r="J42" s="19"/>
      <c r="K42" s="20" t="s">
        <v>84</v>
      </c>
      <c r="L42" s="14"/>
    </row>
    <row r="43" spans="1:12" ht="13.5" hidden="1" customHeight="1" x14ac:dyDescent="0.25">
      <c r="A43" s="17"/>
      <c r="B43" s="123">
        <f>'Энергосбережение и повышение'!B44:E44</f>
        <v>0</v>
      </c>
      <c r="C43" s="124"/>
      <c r="D43" s="124"/>
      <c r="E43" s="125"/>
      <c r="F43" s="37">
        <v>2025</v>
      </c>
      <c r="G43" s="19"/>
      <c r="H43" s="19"/>
      <c r="I43" s="22"/>
      <c r="J43" s="19"/>
      <c r="K43" s="20" t="s">
        <v>84</v>
      </c>
      <c r="L43" s="14"/>
    </row>
    <row r="44" spans="1:12" ht="36.75" hidden="1" customHeight="1" x14ac:dyDescent="0.25">
      <c r="A44" s="18" t="s">
        <v>29</v>
      </c>
      <c r="B44" s="120" t="s">
        <v>30</v>
      </c>
      <c r="C44" s="121"/>
      <c r="D44" s="121"/>
      <c r="E44" s="122"/>
      <c r="F44" s="19"/>
      <c r="G44" s="19"/>
      <c r="H44" s="18"/>
      <c r="I44" s="18"/>
      <c r="J44" s="19"/>
      <c r="K44" s="20"/>
      <c r="L44" s="14"/>
    </row>
    <row r="45" spans="1:12" ht="13.5" hidden="1" customHeight="1" x14ac:dyDescent="0.25">
      <c r="A45" s="18"/>
      <c r="B45" s="120"/>
      <c r="C45" s="128"/>
      <c r="D45" s="128"/>
      <c r="E45" s="129"/>
      <c r="F45" s="19">
        <v>2014</v>
      </c>
      <c r="G45" s="19">
        <f t="shared" si="0"/>
        <v>0</v>
      </c>
      <c r="H45" s="18"/>
      <c r="I45" s="18"/>
      <c r="J45" s="19"/>
      <c r="K45" s="20" t="s">
        <v>84</v>
      </c>
      <c r="L45" s="14"/>
    </row>
    <row r="46" spans="1:12" ht="13.5" hidden="1" customHeight="1" x14ac:dyDescent="0.25">
      <c r="A46" s="18"/>
      <c r="B46" s="120"/>
      <c r="C46" s="128"/>
      <c r="D46" s="128"/>
      <c r="E46" s="129"/>
      <c r="F46" s="19">
        <v>2015</v>
      </c>
      <c r="G46" s="19">
        <f t="shared" si="0"/>
        <v>0</v>
      </c>
      <c r="H46" s="18"/>
      <c r="I46" s="18"/>
      <c r="J46" s="19"/>
      <c r="K46" s="20" t="s">
        <v>84</v>
      </c>
      <c r="L46" s="14"/>
    </row>
    <row r="47" spans="1:12" ht="13.5" hidden="1" customHeight="1" x14ac:dyDescent="0.25">
      <c r="A47" s="18"/>
      <c r="B47" s="120"/>
      <c r="C47" s="128"/>
      <c r="D47" s="128"/>
      <c r="E47" s="129"/>
      <c r="F47" s="19">
        <v>2016</v>
      </c>
      <c r="G47" s="19">
        <f t="shared" si="0"/>
        <v>0</v>
      </c>
      <c r="H47" s="18"/>
      <c r="I47" s="18"/>
      <c r="J47" s="19"/>
      <c r="K47" s="20" t="s">
        <v>84</v>
      </c>
      <c r="L47" s="14"/>
    </row>
    <row r="48" spans="1:12" ht="13.5" hidden="1" customHeight="1" x14ac:dyDescent="0.25">
      <c r="A48" s="18"/>
      <c r="B48" s="120"/>
      <c r="C48" s="128"/>
      <c r="D48" s="128"/>
      <c r="E48" s="129"/>
      <c r="F48" s="19">
        <v>2017</v>
      </c>
      <c r="G48" s="19">
        <f t="shared" si="0"/>
        <v>0</v>
      </c>
      <c r="H48" s="18"/>
      <c r="I48" s="18"/>
      <c r="J48" s="19"/>
      <c r="K48" s="20" t="s">
        <v>84</v>
      </c>
      <c r="L48" s="14"/>
    </row>
    <row r="49" spans="1:12" ht="13.5" hidden="1" customHeight="1" x14ac:dyDescent="0.25">
      <c r="A49" s="18"/>
      <c r="B49" s="120"/>
      <c r="C49" s="128"/>
      <c r="D49" s="128"/>
      <c r="E49" s="129"/>
      <c r="F49" s="19">
        <v>2018</v>
      </c>
      <c r="G49" s="19">
        <f t="shared" si="0"/>
        <v>0</v>
      </c>
      <c r="H49" s="18"/>
      <c r="I49" s="18"/>
      <c r="J49" s="19"/>
      <c r="K49" s="20" t="s">
        <v>84</v>
      </c>
      <c r="L49" s="14"/>
    </row>
    <row r="50" spans="1:12" ht="13.5" hidden="1" customHeight="1" x14ac:dyDescent="0.25">
      <c r="A50" s="18"/>
      <c r="B50" s="133"/>
      <c r="C50" s="126"/>
      <c r="D50" s="126"/>
      <c r="E50" s="127"/>
      <c r="F50" s="19">
        <v>2019</v>
      </c>
      <c r="G50" s="19">
        <f t="shared" si="0"/>
        <v>0</v>
      </c>
      <c r="H50" s="18"/>
      <c r="I50" s="18"/>
      <c r="J50" s="19"/>
      <c r="K50" s="20" t="s">
        <v>84</v>
      </c>
      <c r="L50" s="14"/>
    </row>
    <row r="51" spans="1:12" ht="13.5" hidden="1" customHeight="1" x14ac:dyDescent="0.25">
      <c r="A51" s="18"/>
      <c r="B51" s="133"/>
      <c r="C51" s="126"/>
      <c r="D51" s="126"/>
      <c r="E51" s="127"/>
      <c r="F51" s="19">
        <v>2020</v>
      </c>
      <c r="G51" s="19">
        <f t="shared" si="0"/>
        <v>0</v>
      </c>
      <c r="H51" s="18"/>
      <c r="I51" s="18"/>
      <c r="J51" s="18"/>
      <c r="K51" s="20" t="s">
        <v>84</v>
      </c>
      <c r="L51" s="14"/>
    </row>
    <row r="52" spans="1:12" ht="13.5" hidden="1" customHeight="1" x14ac:dyDescent="0.25">
      <c r="A52" s="18"/>
      <c r="B52" s="133"/>
      <c r="C52" s="126"/>
      <c r="D52" s="126"/>
      <c r="E52" s="127"/>
      <c r="F52" s="19">
        <v>2021</v>
      </c>
      <c r="G52" s="19">
        <f t="shared" si="0"/>
        <v>0</v>
      </c>
      <c r="H52" s="18"/>
      <c r="I52" s="18"/>
      <c r="J52" s="18"/>
      <c r="K52" s="20" t="s">
        <v>84</v>
      </c>
      <c r="L52" s="14"/>
    </row>
    <row r="53" spans="1:12" ht="13.5" hidden="1" customHeight="1" x14ac:dyDescent="0.25">
      <c r="A53" s="18"/>
      <c r="B53" s="133"/>
      <c r="C53" s="126"/>
      <c r="D53" s="126"/>
      <c r="E53" s="127"/>
      <c r="F53" s="19">
        <v>2022</v>
      </c>
      <c r="G53" s="19">
        <f t="shared" si="0"/>
        <v>0</v>
      </c>
      <c r="H53" s="18"/>
      <c r="I53" s="18"/>
      <c r="J53" s="18"/>
      <c r="K53" s="20" t="s">
        <v>84</v>
      </c>
      <c r="L53" s="14"/>
    </row>
    <row r="54" spans="1:12" ht="13.5" hidden="1" customHeight="1" x14ac:dyDescent="0.25">
      <c r="A54" s="18"/>
      <c r="B54" s="40"/>
      <c r="C54" s="41"/>
      <c r="D54" s="41"/>
      <c r="E54" s="42"/>
      <c r="F54" s="19">
        <v>2023</v>
      </c>
      <c r="G54" s="19"/>
      <c r="H54" s="18"/>
      <c r="I54" s="18"/>
      <c r="J54" s="18"/>
      <c r="K54" s="20" t="s">
        <v>84</v>
      </c>
      <c r="L54" s="14"/>
    </row>
    <row r="55" spans="1:12" ht="13.5" hidden="1" customHeight="1" x14ac:dyDescent="0.25">
      <c r="A55" s="18"/>
      <c r="B55" s="40"/>
      <c r="C55" s="41"/>
      <c r="D55" s="41"/>
      <c r="E55" s="42"/>
      <c r="F55" s="19">
        <v>2024</v>
      </c>
      <c r="G55" s="19"/>
      <c r="H55" s="18"/>
      <c r="I55" s="18"/>
      <c r="J55" s="18"/>
      <c r="K55" s="20" t="s">
        <v>84</v>
      </c>
      <c r="L55" s="14"/>
    </row>
    <row r="56" spans="1:12" ht="13.5" hidden="1" customHeight="1" x14ac:dyDescent="0.25">
      <c r="A56" s="18"/>
      <c r="B56" s="40"/>
      <c r="C56" s="41"/>
      <c r="D56" s="41"/>
      <c r="E56" s="42"/>
      <c r="F56" s="19">
        <v>2025</v>
      </c>
      <c r="G56" s="19"/>
      <c r="H56" s="18"/>
      <c r="I56" s="18"/>
      <c r="J56" s="18"/>
      <c r="K56" s="20" t="s">
        <v>84</v>
      </c>
      <c r="L56" s="14"/>
    </row>
    <row r="57" spans="1:12" ht="60.75" hidden="1" customHeight="1" x14ac:dyDescent="0.25">
      <c r="A57" s="18" t="s">
        <v>31</v>
      </c>
      <c r="B57" s="120" t="s">
        <v>32</v>
      </c>
      <c r="C57" s="121"/>
      <c r="D57" s="121"/>
      <c r="E57" s="122"/>
      <c r="F57" s="19"/>
      <c r="G57" s="19"/>
      <c r="H57" s="18"/>
      <c r="I57" s="18"/>
      <c r="J57" s="18"/>
      <c r="K57" s="20"/>
      <c r="L57" s="14"/>
    </row>
    <row r="58" spans="1:12" ht="27" hidden="1" customHeight="1" x14ac:dyDescent="0.25">
      <c r="A58" s="18"/>
      <c r="B58" s="123" t="s">
        <v>33</v>
      </c>
      <c r="C58" s="126"/>
      <c r="D58" s="126"/>
      <c r="E58" s="127"/>
      <c r="F58" s="19">
        <v>2014</v>
      </c>
      <c r="G58" s="19">
        <f t="shared" si="0"/>
        <v>278.57</v>
      </c>
      <c r="H58" s="18">
        <v>273</v>
      </c>
      <c r="I58" s="18">
        <v>5.57</v>
      </c>
      <c r="J58" s="18"/>
      <c r="K58" s="20" t="s">
        <v>84</v>
      </c>
      <c r="L58" s="14"/>
    </row>
    <row r="59" spans="1:12" ht="32.25" hidden="1" customHeight="1" x14ac:dyDescent="0.25">
      <c r="A59" s="18"/>
      <c r="B59" s="123" t="s">
        <v>34</v>
      </c>
      <c r="C59" s="126"/>
      <c r="D59" s="126"/>
      <c r="E59" s="127"/>
      <c r="F59" s="19">
        <v>2015</v>
      </c>
      <c r="G59" s="19">
        <f t="shared" si="0"/>
        <v>0</v>
      </c>
      <c r="H59" s="18">
        <v>0</v>
      </c>
      <c r="I59" s="18">
        <v>0</v>
      </c>
      <c r="J59" s="18"/>
      <c r="K59" s="20" t="s">
        <v>84</v>
      </c>
      <c r="L59" s="14"/>
    </row>
    <row r="60" spans="1:12" ht="112.5" hidden="1" customHeight="1" x14ac:dyDescent="0.25">
      <c r="A60" s="18"/>
      <c r="B60" s="123" t="s">
        <v>35</v>
      </c>
      <c r="C60" s="126"/>
      <c r="D60" s="126"/>
      <c r="E60" s="127"/>
      <c r="F60" s="19">
        <v>2016</v>
      </c>
      <c r="G60" s="19">
        <f t="shared" si="0"/>
        <v>2199.37</v>
      </c>
      <c r="H60" s="18">
        <v>180</v>
      </c>
      <c r="I60" s="18">
        <f>7.37+300+12+1700</f>
        <v>2019.37</v>
      </c>
      <c r="J60" s="18"/>
      <c r="K60" s="20" t="s">
        <v>84</v>
      </c>
      <c r="L60" s="14"/>
    </row>
    <row r="61" spans="1:12" ht="105" hidden="1" customHeight="1" x14ac:dyDescent="0.25">
      <c r="A61" s="18"/>
      <c r="B61" s="123" t="s">
        <v>36</v>
      </c>
      <c r="C61" s="124"/>
      <c r="D61" s="124"/>
      <c r="E61" s="125"/>
      <c r="F61" s="19">
        <v>2017</v>
      </c>
      <c r="G61" s="19">
        <f t="shared" si="0"/>
        <v>512</v>
      </c>
      <c r="H61" s="18">
        <v>0</v>
      </c>
      <c r="I61" s="18">
        <f>200+12+100+200</f>
        <v>512</v>
      </c>
      <c r="J61" s="18"/>
      <c r="K61" s="20" t="s">
        <v>84</v>
      </c>
      <c r="L61" s="14"/>
    </row>
    <row r="62" spans="1:12" hidden="1" x14ac:dyDescent="0.25">
      <c r="A62" s="18"/>
      <c r="B62" s="133"/>
      <c r="C62" s="126"/>
      <c r="D62" s="126"/>
      <c r="E62" s="127"/>
      <c r="F62" s="19">
        <v>2018</v>
      </c>
      <c r="G62" s="19">
        <f t="shared" si="0"/>
        <v>0</v>
      </c>
      <c r="H62" s="18"/>
      <c r="I62" s="18"/>
      <c r="J62" s="18"/>
      <c r="K62" s="20" t="s">
        <v>84</v>
      </c>
      <c r="L62" s="14"/>
    </row>
    <row r="63" spans="1:12" hidden="1" x14ac:dyDescent="0.25">
      <c r="A63" s="18"/>
      <c r="B63" s="133"/>
      <c r="C63" s="126"/>
      <c r="D63" s="126"/>
      <c r="E63" s="127"/>
      <c r="F63" s="19">
        <v>2019</v>
      </c>
      <c r="G63" s="19">
        <f t="shared" si="0"/>
        <v>0</v>
      </c>
      <c r="H63" s="18"/>
      <c r="I63" s="18"/>
      <c r="J63" s="18"/>
      <c r="K63" s="20" t="s">
        <v>84</v>
      </c>
      <c r="L63" s="14"/>
    </row>
    <row r="64" spans="1:12" hidden="1" x14ac:dyDescent="0.25">
      <c r="A64" s="18"/>
      <c r="B64" s="133"/>
      <c r="C64" s="126"/>
      <c r="D64" s="126"/>
      <c r="E64" s="127"/>
      <c r="F64" s="19">
        <v>2020</v>
      </c>
      <c r="G64" s="19">
        <f t="shared" si="0"/>
        <v>0</v>
      </c>
      <c r="H64" s="18"/>
      <c r="I64" s="18"/>
      <c r="J64" s="18"/>
      <c r="K64" s="20" t="s">
        <v>84</v>
      </c>
      <c r="L64" s="14"/>
    </row>
    <row r="65" spans="1:12" hidden="1" x14ac:dyDescent="0.25">
      <c r="A65" s="18"/>
      <c r="B65" s="133"/>
      <c r="C65" s="126"/>
      <c r="D65" s="126"/>
      <c r="E65" s="127"/>
      <c r="F65" s="19">
        <v>2021</v>
      </c>
      <c r="G65" s="19">
        <f t="shared" si="0"/>
        <v>0</v>
      </c>
      <c r="H65" s="18"/>
      <c r="I65" s="18"/>
      <c r="J65" s="18"/>
      <c r="K65" s="20" t="s">
        <v>84</v>
      </c>
      <c r="L65" s="14"/>
    </row>
    <row r="66" spans="1:12" hidden="1" x14ac:dyDescent="0.25">
      <c r="A66" s="18"/>
      <c r="B66" s="133"/>
      <c r="C66" s="126"/>
      <c r="D66" s="126"/>
      <c r="E66" s="127"/>
      <c r="F66" s="19">
        <v>2022</v>
      </c>
      <c r="G66" s="19">
        <f t="shared" si="0"/>
        <v>0</v>
      </c>
      <c r="H66" s="18"/>
      <c r="I66" s="18"/>
      <c r="J66" s="18"/>
      <c r="K66" s="20" t="s">
        <v>84</v>
      </c>
      <c r="L66" s="14"/>
    </row>
    <row r="67" spans="1:12" hidden="1" x14ac:dyDescent="0.25">
      <c r="A67" s="18"/>
      <c r="B67" s="40"/>
      <c r="C67" s="41"/>
      <c r="D67" s="41"/>
      <c r="E67" s="42"/>
      <c r="F67" s="19">
        <v>2023</v>
      </c>
      <c r="G67" s="19"/>
      <c r="H67" s="18"/>
      <c r="I67" s="18"/>
      <c r="J67" s="18"/>
      <c r="K67" s="20" t="s">
        <v>84</v>
      </c>
      <c r="L67" s="14"/>
    </row>
    <row r="68" spans="1:12" hidden="1" x14ac:dyDescent="0.25">
      <c r="A68" s="18"/>
      <c r="B68" s="40"/>
      <c r="C68" s="41"/>
      <c r="D68" s="41"/>
      <c r="E68" s="42"/>
      <c r="F68" s="19">
        <v>2024</v>
      </c>
      <c r="G68" s="19"/>
      <c r="H68" s="18"/>
      <c r="I68" s="18"/>
      <c r="J68" s="18"/>
      <c r="K68" s="20" t="s">
        <v>84</v>
      </c>
      <c r="L68" s="14"/>
    </row>
    <row r="69" spans="1:12" hidden="1" x14ac:dyDescent="0.25">
      <c r="A69" s="18"/>
      <c r="B69" s="133"/>
      <c r="C69" s="126"/>
      <c r="D69" s="126"/>
      <c r="E69" s="127"/>
      <c r="F69" s="19">
        <v>2025</v>
      </c>
      <c r="G69" s="19">
        <f t="shared" si="0"/>
        <v>0</v>
      </c>
      <c r="H69" s="18"/>
      <c r="I69" s="18"/>
      <c r="J69" s="18"/>
      <c r="K69" s="20" t="s">
        <v>84</v>
      </c>
      <c r="L69" s="14"/>
    </row>
    <row r="70" spans="1:12" s="7" customFormat="1" ht="23.25" hidden="1" customHeight="1" x14ac:dyDescent="0.25">
      <c r="A70" s="15"/>
      <c r="B70" s="110" t="s">
        <v>37</v>
      </c>
      <c r="C70" s="110"/>
      <c r="D70" s="110"/>
      <c r="E70" s="110"/>
      <c r="F70" s="38">
        <v>2014</v>
      </c>
      <c r="G70" s="23">
        <f>G9+G32+G58+G45</f>
        <v>1429</v>
      </c>
      <c r="H70" s="15">
        <f t="shared" ref="H70:I73" si="1">H9+H32+H45+H58</f>
        <v>1400.42</v>
      </c>
      <c r="I70" s="15">
        <f t="shared" si="1"/>
        <v>28.580000000000002</v>
      </c>
      <c r="J70" s="15"/>
      <c r="K70" s="20" t="s">
        <v>84</v>
      </c>
      <c r="L70" s="24"/>
    </row>
    <row r="71" spans="1:12" s="7" customFormat="1" ht="14.25" hidden="1" x14ac:dyDescent="0.25">
      <c r="A71" s="15"/>
      <c r="B71" s="163"/>
      <c r="C71" s="163"/>
      <c r="D71" s="163"/>
      <c r="E71" s="163"/>
      <c r="F71" s="38">
        <v>2015</v>
      </c>
      <c r="G71" s="23">
        <f>G10+G33+G46+G59</f>
        <v>192.33680000000001</v>
      </c>
      <c r="H71" s="15">
        <f t="shared" si="1"/>
        <v>189.47</v>
      </c>
      <c r="I71" s="15">
        <f t="shared" si="1"/>
        <v>2.8668</v>
      </c>
      <c r="J71" s="15"/>
      <c r="K71" s="20" t="s">
        <v>84</v>
      </c>
      <c r="L71" s="24"/>
    </row>
    <row r="72" spans="1:12" s="7" customFormat="1" ht="14.25" hidden="1" x14ac:dyDescent="0.25">
      <c r="A72" s="15"/>
      <c r="B72" s="163"/>
      <c r="C72" s="163"/>
      <c r="D72" s="163"/>
      <c r="E72" s="163"/>
      <c r="F72" s="38">
        <v>2016</v>
      </c>
      <c r="G72" s="15">
        <f>G11+G34+G47+G60</f>
        <v>3906.37</v>
      </c>
      <c r="H72" s="15">
        <f t="shared" si="1"/>
        <v>278.95999999999998</v>
      </c>
      <c r="I72" s="15">
        <f t="shared" si="1"/>
        <v>3627.41</v>
      </c>
      <c r="J72" s="15"/>
      <c r="K72" s="20" t="s">
        <v>84</v>
      </c>
      <c r="L72" s="24"/>
    </row>
    <row r="73" spans="1:12" s="7" customFormat="1" ht="14.25" hidden="1" x14ac:dyDescent="0.25">
      <c r="A73" s="15"/>
      <c r="B73" s="163"/>
      <c r="C73" s="163"/>
      <c r="D73" s="163"/>
      <c r="E73" s="163"/>
      <c r="F73" s="38">
        <v>2017</v>
      </c>
      <c r="G73" s="15">
        <f>G12+G35+G48+G61</f>
        <v>6750.92</v>
      </c>
      <c r="H73" s="15">
        <f t="shared" si="1"/>
        <v>675.19</v>
      </c>
      <c r="I73" s="15">
        <f t="shared" si="1"/>
        <v>6075.73</v>
      </c>
      <c r="J73" s="15"/>
      <c r="K73" s="20" t="s">
        <v>84</v>
      </c>
      <c r="L73" s="24"/>
    </row>
    <row r="74" spans="1:12" s="7" customFormat="1" ht="14.25" hidden="1" x14ac:dyDescent="0.25">
      <c r="A74" s="15"/>
      <c r="B74" s="163"/>
      <c r="C74" s="163"/>
      <c r="D74" s="163"/>
      <c r="E74" s="163"/>
      <c r="F74" s="38">
        <v>2018</v>
      </c>
      <c r="G74" s="15">
        <f>G13+G14+G36+G49+G62</f>
        <v>3150.386</v>
      </c>
      <c r="H74" s="15">
        <f>H13+H14+H36+H49+H62</f>
        <v>674.08</v>
      </c>
      <c r="I74" s="15">
        <f>I13+I14+I36+I49+I62</f>
        <v>2476.306</v>
      </c>
      <c r="J74" s="15"/>
      <c r="K74" s="20" t="s">
        <v>84</v>
      </c>
      <c r="L74" s="24"/>
    </row>
    <row r="75" spans="1:12" s="7" customFormat="1" ht="14.25" hidden="1" x14ac:dyDescent="0.25">
      <c r="A75" s="15"/>
      <c r="B75" s="163"/>
      <c r="C75" s="163"/>
      <c r="D75" s="163"/>
      <c r="E75" s="163"/>
      <c r="F75" s="38">
        <v>2019</v>
      </c>
      <c r="G75" s="15">
        <f>G15+G37+G50+G63</f>
        <v>1696.8775499999999</v>
      </c>
      <c r="H75" s="15">
        <f>H15+H37+H50+H63</f>
        <v>442.84</v>
      </c>
      <c r="I75" s="25">
        <f>I15+I37+I50+I63</f>
        <v>1254.03755</v>
      </c>
      <c r="J75" s="15"/>
      <c r="K75" s="20" t="s">
        <v>84</v>
      </c>
      <c r="L75" s="24"/>
    </row>
    <row r="76" spans="1:12" s="7" customFormat="1" ht="14.25" hidden="1" x14ac:dyDescent="0.25">
      <c r="A76" s="15"/>
      <c r="B76" s="163"/>
      <c r="C76" s="163"/>
      <c r="D76" s="163"/>
      <c r="E76" s="163"/>
      <c r="F76" s="38">
        <v>2020</v>
      </c>
      <c r="G76" s="15">
        <f>G16+G17+G18+G19+G38+G51+G64</f>
        <v>490601.39795999997</v>
      </c>
      <c r="H76" s="15">
        <f>H16+H17+H18+H19+H38+H51+H64</f>
        <v>275.77</v>
      </c>
      <c r="I76" s="25">
        <f>I16+I17+I18+I19+I38+I51+I64</f>
        <v>490325.62796000001</v>
      </c>
      <c r="J76" s="15"/>
      <c r="K76" s="20" t="s">
        <v>84</v>
      </c>
      <c r="L76" s="24"/>
    </row>
    <row r="77" spans="1:12" s="7" customFormat="1" ht="14.25" hidden="1" x14ac:dyDescent="0.25">
      <c r="A77" s="15"/>
      <c r="B77" s="163"/>
      <c r="C77" s="163"/>
      <c r="D77" s="163"/>
      <c r="E77" s="163"/>
      <c r="F77" s="38">
        <v>2021</v>
      </c>
      <c r="G77" s="15">
        <f>G20+G21+G22+G23+G39+G52+G65</f>
        <v>5529.48</v>
      </c>
      <c r="H77" s="15">
        <f>H20+H21+H22+H23+H39+H52+H65</f>
        <v>205.29</v>
      </c>
      <c r="I77" s="25">
        <f>I20+I21+I22+I23+I39+I52+I65</f>
        <v>5324.19</v>
      </c>
      <c r="J77" s="15"/>
      <c r="K77" s="20" t="s">
        <v>84</v>
      </c>
      <c r="L77" s="24"/>
    </row>
    <row r="78" spans="1:12" s="6" customFormat="1" ht="14.25" hidden="1" x14ac:dyDescent="0.2">
      <c r="A78" s="8"/>
      <c r="B78" s="163"/>
      <c r="C78" s="163"/>
      <c r="D78" s="163"/>
      <c r="E78" s="163"/>
      <c r="F78" s="39">
        <v>2022</v>
      </c>
      <c r="G78" s="8">
        <f>G24+G25+G26+G27+G40+G53+G66</f>
        <v>5459.6530000000002</v>
      </c>
      <c r="H78" s="8">
        <f>H24+H25+H26+H27+H40+H53+H66</f>
        <v>136.86000000000001</v>
      </c>
      <c r="I78" s="26">
        <f>I24+I25+I26+I27+I40+I53+I66</f>
        <v>5322.7929999999997</v>
      </c>
      <c r="J78" s="8"/>
      <c r="K78" s="20" t="s">
        <v>84</v>
      </c>
      <c r="L78" s="27"/>
    </row>
    <row r="79" spans="1:12" s="6" customFormat="1" ht="14.25" hidden="1" x14ac:dyDescent="0.2">
      <c r="A79" s="8"/>
      <c r="B79" s="163"/>
      <c r="C79" s="163"/>
      <c r="D79" s="163"/>
      <c r="E79" s="163"/>
      <c r="F79" s="39">
        <v>2023</v>
      </c>
      <c r="G79" s="26">
        <f>'Энергосбережение и повышение'!G80</f>
        <v>5501735</v>
      </c>
      <c r="H79" s="8">
        <f>'Энергосбережение и повышение'!H80</f>
        <v>491700</v>
      </c>
      <c r="I79" s="26">
        <f>'Энергосбережение и повышение'!I80</f>
        <v>5010035</v>
      </c>
      <c r="J79" s="8"/>
      <c r="K79" s="20" t="s">
        <v>84</v>
      </c>
      <c r="L79" s="27"/>
    </row>
    <row r="80" spans="1:12" s="6" customFormat="1" ht="14.25" hidden="1" x14ac:dyDescent="0.2">
      <c r="A80" s="8"/>
      <c r="B80" s="163"/>
      <c r="C80" s="163"/>
      <c r="D80" s="163"/>
      <c r="E80" s="163"/>
      <c r="F80" s="39">
        <v>2024</v>
      </c>
      <c r="G80" s="26">
        <f>'Энергосбережение и повышение'!G81</f>
        <v>0</v>
      </c>
      <c r="H80" s="8">
        <f>'Энергосбережение и повышение'!H81</f>
        <v>0</v>
      </c>
      <c r="I80" s="26">
        <f>'Энергосбережение и повышение'!I81</f>
        <v>0</v>
      </c>
      <c r="J80" s="8"/>
      <c r="K80" s="20" t="s">
        <v>84</v>
      </c>
      <c r="L80" s="27"/>
    </row>
    <row r="81" spans="1:12" s="6" customFormat="1" ht="14.25" hidden="1" x14ac:dyDescent="0.2">
      <c r="A81" s="53"/>
      <c r="B81" s="113"/>
      <c r="C81" s="113"/>
      <c r="D81" s="113"/>
      <c r="E81" s="113"/>
      <c r="F81" s="39">
        <v>2025</v>
      </c>
      <c r="G81" s="26">
        <f>'Энергосбережение и повышение'!G82</f>
        <v>0</v>
      </c>
      <c r="H81" s="8">
        <f>'Энергосбережение и повышение'!H82</f>
        <v>0</v>
      </c>
      <c r="I81" s="26">
        <f>'Энергосбережение и повышение'!I82</f>
        <v>0</v>
      </c>
      <c r="J81" s="8"/>
      <c r="K81" s="20" t="s">
        <v>84</v>
      </c>
      <c r="L81" s="27"/>
    </row>
    <row r="82" spans="1:12" hidden="1" x14ac:dyDescent="0.25">
      <c r="A82" s="140" t="s">
        <v>38</v>
      </c>
      <c r="B82" s="169"/>
      <c r="C82" s="169"/>
      <c r="D82" s="169"/>
      <c r="E82" s="169"/>
      <c r="F82" s="169"/>
      <c r="G82" s="169"/>
      <c r="H82" s="169"/>
      <c r="I82" s="169"/>
      <c r="J82" s="169"/>
      <c r="K82" s="170"/>
      <c r="L82" s="14"/>
    </row>
    <row r="83" spans="1:12" ht="67.5" hidden="1" customHeight="1" x14ac:dyDescent="0.25">
      <c r="A83" s="8" t="s">
        <v>39</v>
      </c>
      <c r="B83" s="120" t="s">
        <v>40</v>
      </c>
      <c r="C83" s="121"/>
      <c r="D83" s="121"/>
      <c r="E83" s="122"/>
      <c r="F83" s="19"/>
      <c r="G83" s="18"/>
      <c r="H83" s="18"/>
      <c r="I83" s="18"/>
      <c r="J83" s="18"/>
      <c r="K83" s="18"/>
      <c r="L83" s="14"/>
    </row>
    <row r="84" spans="1:12" hidden="1" x14ac:dyDescent="0.25">
      <c r="A84" s="18"/>
      <c r="B84" s="133" t="s">
        <v>41</v>
      </c>
      <c r="C84" s="126"/>
      <c r="D84" s="126"/>
      <c r="E84" s="127"/>
      <c r="F84" s="19">
        <v>2014</v>
      </c>
      <c r="G84" s="18">
        <f>H84+I84+J84</f>
        <v>129.54</v>
      </c>
      <c r="H84" s="18">
        <v>127</v>
      </c>
      <c r="I84" s="18">
        <v>2.54</v>
      </c>
      <c r="J84" s="18"/>
      <c r="K84" s="18" t="s">
        <v>84</v>
      </c>
      <c r="L84" s="14"/>
    </row>
    <row r="85" spans="1:12" hidden="1" x14ac:dyDescent="0.25">
      <c r="A85" s="18"/>
      <c r="B85" s="31"/>
      <c r="C85" s="32"/>
      <c r="D85" s="32"/>
      <c r="E85" s="33"/>
      <c r="F85" s="19">
        <v>2015</v>
      </c>
      <c r="G85" s="18">
        <f t="shared" ref="G85:G92" si="2">H85+I85+J85</f>
        <v>0</v>
      </c>
      <c r="H85" s="18">
        <v>0</v>
      </c>
      <c r="I85" s="18">
        <v>0</v>
      </c>
      <c r="J85" s="18"/>
      <c r="K85" s="18" t="s">
        <v>84</v>
      </c>
      <c r="L85" s="14"/>
    </row>
    <row r="86" spans="1:12" ht="18.75" hidden="1" customHeight="1" x14ac:dyDescent="0.25">
      <c r="A86" s="18"/>
      <c r="B86" s="133" t="s">
        <v>42</v>
      </c>
      <c r="C86" s="126"/>
      <c r="D86" s="126"/>
      <c r="E86" s="127"/>
      <c r="F86" s="19">
        <v>2016</v>
      </c>
      <c r="G86" s="18">
        <f t="shared" si="2"/>
        <v>141.54</v>
      </c>
      <c r="H86" s="18">
        <v>103</v>
      </c>
      <c r="I86" s="18">
        <v>38.54</v>
      </c>
      <c r="J86" s="18"/>
      <c r="K86" s="18" t="s">
        <v>84</v>
      </c>
      <c r="L86" s="14"/>
    </row>
    <row r="87" spans="1:12" ht="48.75" hidden="1" customHeight="1" x14ac:dyDescent="0.25">
      <c r="A87" s="18"/>
      <c r="B87" s="123" t="s">
        <v>43</v>
      </c>
      <c r="C87" s="124"/>
      <c r="D87" s="124"/>
      <c r="E87" s="125"/>
      <c r="F87" s="19">
        <v>2017</v>
      </c>
      <c r="G87" s="18">
        <f t="shared" si="2"/>
        <v>1420.32</v>
      </c>
      <c r="H87" s="18">
        <v>216</v>
      </c>
      <c r="I87" s="18">
        <f>1200+4.32</f>
        <v>1204.32</v>
      </c>
      <c r="J87" s="18"/>
      <c r="K87" s="18" t="s">
        <v>84</v>
      </c>
      <c r="L87" s="14"/>
    </row>
    <row r="88" spans="1:12" ht="13.5" hidden="1" customHeight="1" x14ac:dyDescent="0.25">
      <c r="A88" s="18"/>
      <c r="B88" s="120"/>
      <c r="C88" s="121"/>
      <c r="D88" s="121"/>
      <c r="E88" s="122"/>
      <c r="F88" s="19">
        <v>2018</v>
      </c>
      <c r="G88" s="18">
        <f t="shared" si="2"/>
        <v>0</v>
      </c>
      <c r="H88" s="18">
        <v>0</v>
      </c>
      <c r="I88" s="18">
        <v>0</v>
      </c>
      <c r="J88" s="18"/>
      <c r="K88" s="18" t="s">
        <v>84</v>
      </c>
      <c r="L88" s="14"/>
    </row>
    <row r="89" spans="1:12" ht="13.5" hidden="1" customHeight="1" x14ac:dyDescent="0.25">
      <c r="A89" s="18"/>
      <c r="B89" s="31"/>
      <c r="C89" s="32"/>
      <c r="D89" s="32"/>
      <c r="E89" s="33"/>
      <c r="F89" s="19">
        <v>2019</v>
      </c>
      <c r="G89" s="18">
        <f t="shared" si="2"/>
        <v>0</v>
      </c>
      <c r="H89" s="18">
        <v>0</v>
      </c>
      <c r="I89" s="28">
        <v>0</v>
      </c>
      <c r="J89" s="18"/>
      <c r="K89" s="18" t="s">
        <v>84</v>
      </c>
      <c r="L89" s="14"/>
    </row>
    <row r="90" spans="1:12" ht="13.5" hidden="1" customHeight="1" x14ac:dyDescent="0.25">
      <c r="A90" s="18"/>
      <c r="B90" s="31"/>
      <c r="C90" s="32"/>
      <c r="D90" s="32"/>
      <c r="E90" s="33"/>
      <c r="F90" s="19">
        <v>2020</v>
      </c>
      <c r="G90" s="18">
        <f t="shared" si="2"/>
        <v>0</v>
      </c>
      <c r="H90" s="18">
        <v>0</v>
      </c>
      <c r="I90" s="18">
        <v>0</v>
      </c>
      <c r="J90" s="18"/>
      <c r="K90" s="18" t="s">
        <v>84</v>
      </c>
      <c r="L90" s="14"/>
    </row>
    <row r="91" spans="1:12" ht="13.5" hidden="1" customHeight="1" x14ac:dyDescent="0.25">
      <c r="A91" s="18"/>
      <c r="B91" s="31"/>
      <c r="C91" s="32"/>
      <c r="D91" s="32"/>
      <c r="E91" s="33"/>
      <c r="F91" s="19">
        <v>2021</v>
      </c>
      <c r="G91" s="18">
        <f t="shared" si="2"/>
        <v>0</v>
      </c>
      <c r="H91" s="18">
        <v>0</v>
      </c>
      <c r="I91" s="18">
        <v>0</v>
      </c>
      <c r="J91" s="18"/>
      <c r="K91" s="18" t="s">
        <v>84</v>
      </c>
      <c r="L91" s="14"/>
    </row>
    <row r="92" spans="1:12" ht="13.5" hidden="1" customHeight="1" x14ac:dyDescent="0.25">
      <c r="A92" s="18"/>
      <c r="B92" s="31"/>
      <c r="C92" s="32"/>
      <c r="D92" s="32"/>
      <c r="E92" s="33"/>
      <c r="F92" s="19">
        <v>2022</v>
      </c>
      <c r="G92" s="18">
        <f t="shared" si="2"/>
        <v>0</v>
      </c>
      <c r="H92" s="18">
        <v>0</v>
      </c>
      <c r="I92" s="18">
        <v>0</v>
      </c>
      <c r="J92" s="18"/>
      <c r="K92" s="18" t="s">
        <v>84</v>
      </c>
      <c r="L92" s="14"/>
    </row>
    <row r="93" spans="1:12" ht="13.5" hidden="1" customHeight="1" x14ac:dyDescent="0.25">
      <c r="A93" s="18"/>
      <c r="B93" s="40"/>
      <c r="C93" s="41"/>
      <c r="D93" s="41"/>
      <c r="E93" s="42"/>
      <c r="F93" s="19">
        <v>2023</v>
      </c>
      <c r="G93" s="18"/>
      <c r="H93" s="18"/>
      <c r="I93" s="18"/>
      <c r="J93" s="18"/>
      <c r="K93" s="18" t="s">
        <v>84</v>
      </c>
      <c r="L93" s="14"/>
    </row>
    <row r="94" spans="1:12" ht="13.5" hidden="1" customHeight="1" x14ac:dyDescent="0.25">
      <c r="A94" s="18"/>
      <c r="B94" s="40"/>
      <c r="C94" s="41"/>
      <c r="D94" s="41"/>
      <c r="E94" s="42"/>
      <c r="F94" s="19">
        <v>2024</v>
      </c>
      <c r="G94" s="18"/>
      <c r="H94" s="18"/>
      <c r="I94" s="18"/>
      <c r="J94" s="18"/>
      <c r="K94" s="18" t="s">
        <v>84</v>
      </c>
      <c r="L94" s="14"/>
    </row>
    <row r="95" spans="1:12" ht="13.5" hidden="1" customHeight="1" x14ac:dyDescent="0.25">
      <c r="A95" s="18"/>
      <c r="B95" s="40"/>
      <c r="C95" s="41"/>
      <c r="D95" s="41"/>
      <c r="E95" s="42"/>
      <c r="F95" s="19">
        <v>2025</v>
      </c>
      <c r="G95" s="18"/>
      <c r="H95" s="18"/>
      <c r="I95" s="18"/>
      <c r="J95" s="18"/>
      <c r="K95" s="18" t="s">
        <v>84</v>
      </c>
      <c r="L95" s="14"/>
    </row>
    <row r="96" spans="1:12" ht="54.75" hidden="1" customHeight="1" x14ac:dyDescent="0.25">
      <c r="A96" s="8" t="s">
        <v>44</v>
      </c>
      <c r="B96" s="120" t="s">
        <v>45</v>
      </c>
      <c r="C96" s="121"/>
      <c r="D96" s="121"/>
      <c r="E96" s="122"/>
      <c r="F96" s="19"/>
      <c r="G96" s="18"/>
      <c r="H96" s="18"/>
      <c r="I96" s="18"/>
      <c r="J96" s="18"/>
      <c r="K96" s="18"/>
      <c r="L96" s="14"/>
    </row>
    <row r="97" spans="1:12" hidden="1" x14ac:dyDescent="0.25">
      <c r="A97" s="18"/>
      <c r="B97" s="133" t="s">
        <v>46</v>
      </c>
      <c r="C97" s="126"/>
      <c r="D97" s="126"/>
      <c r="E97" s="127"/>
      <c r="F97" s="19">
        <v>2014</v>
      </c>
      <c r="G97" s="18">
        <f>H97+I97+J97</f>
        <v>0</v>
      </c>
      <c r="H97" s="18"/>
      <c r="I97" s="18"/>
      <c r="J97" s="18"/>
      <c r="K97" s="18" t="s">
        <v>84</v>
      </c>
      <c r="L97" s="14"/>
    </row>
    <row r="98" spans="1:12" hidden="1" x14ac:dyDescent="0.25">
      <c r="A98" s="18"/>
      <c r="B98" s="133" t="s">
        <v>46</v>
      </c>
      <c r="C98" s="126"/>
      <c r="D98" s="126"/>
      <c r="E98" s="127"/>
      <c r="F98" s="19">
        <v>2015</v>
      </c>
      <c r="G98" s="18">
        <f t="shared" ref="G98:G105" si="3">H98+I98+J98</f>
        <v>0</v>
      </c>
      <c r="H98" s="18"/>
      <c r="I98" s="18"/>
      <c r="J98" s="18"/>
      <c r="K98" s="18" t="s">
        <v>84</v>
      </c>
      <c r="L98" s="14"/>
    </row>
    <row r="99" spans="1:12" hidden="1" x14ac:dyDescent="0.25">
      <c r="A99" s="18"/>
      <c r="B99" s="133" t="s">
        <v>46</v>
      </c>
      <c r="C99" s="126"/>
      <c r="D99" s="126"/>
      <c r="E99" s="127"/>
      <c r="F99" s="19">
        <v>2016</v>
      </c>
      <c r="G99" s="18">
        <f t="shared" si="3"/>
        <v>0</v>
      </c>
      <c r="H99" s="18"/>
      <c r="I99" s="18"/>
      <c r="J99" s="18"/>
      <c r="K99" s="18" t="s">
        <v>84</v>
      </c>
      <c r="L99" s="14"/>
    </row>
    <row r="100" spans="1:12" hidden="1" x14ac:dyDescent="0.25">
      <c r="A100" s="18"/>
      <c r="B100" s="133" t="s">
        <v>46</v>
      </c>
      <c r="C100" s="126"/>
      <c r="D100" s="126"/>
      <c r="E100" s="127"/>
      <c r="F100" s="19">
        <v>2017</v>
      </c>
      <c r="G100" s="18">
        <f t="shared" si="3"/>
        <v>0</v>
      </c>
      <c r="H100" s="18"/>
      <c r="I100" s="18"/>
      <c r="J100" s="18"/>
      <c r="K100" s="18" t="s">
        <v>84</v>
      </c>
      <c r="L100" s="14"/>
    </row>
    <row r="101" spans="1:12" ht="49.5" hidden="1" customHeight="1" x14ac:dyDescent="0.25">
      <c r="A101" s="18"/>
      <c r="B101" s="123" t="s">
        <v>47</v>
      </c>
      <c r="C101" s="126"/>
      <c r="D101" s="126"/>
      <c r="E101" s="127"/>
      <c r="F101" s="19">
        <v>2018</v>
      </c>
      <c r="G101" s="18">
        <f t="shared" si="3"/>
        <v>10153.06122</v>
      </c>
      <c r="H101" s="18">
        <v>9950</v>
      </c>
      <c r="I101" s="18">
        <v>203.06121999999999</v>
      </c>
      <c r="J101" s="18"/>
      <c r="K101" s="18" t="s">
        <v>84</v>
      </c>
      <c r="L101" s="14"/>
    </row>
    <row r="102" spans="1:12" ht="57.75" hidden="1" customHeight="1" x14ac:dyDescent="0.25">
      <c r="A102" s="18"/>
      <c r="B102" s="123" t="s">
        <v>48</v>
      </c>
      <c r="C102" s="126"/>
      <c r="D102" s="126"/>
      <c r="E102" s="127"/>
      <c r="F102" s="19">
        <v>2019</v>
      </c>
      <c r="G102" s="18">
        <f t="shared" si="3"/>
        <v>11870</v>
      </c>
      <c r="H102" s="18">
        <v>11632.6</v>
      </c>
      <c r="I102" s="18">
        <v>237.4</v>
      </c>
      <c r="J102" s="18"/>
      <c r="K102" s="18" t="s">
        <v>84</v>
      </c>
      <c r="L102" s="14"/>
    </row>
    <row r="103" spans="1:12" ht="60" hidden="1" customHeight="1" x14ac:dyDescent="0.25">
      <c r="A103" s="18"/>
      <c r="B103" s="123" t="s">
        <v>49</v>
      </c>
      <c r="C103" s="126"/>
      <c r="D103" s="126"/>
      <c r="E103" s="127"/>
      <c r="F103" s="19">
        <v>2020</v>
      </c>
      <c r="G103" s="18">
        <f t="shared" si="3"/>
        <v>0</v>
      </c>
      <c r="H103" s="18"/>
      <c r="I103" s="18">
        <v>0</v>
      </c>
      <c r="J103" s="18">
        <v>0</v>
      </c>
      <c r="K103" s="18" t="s">
        <v>84</v>
      </c>
      <c r="L103" s="14"/>
    </row>
    <row r="104" spans="1:12" hidden="1" x14ac:dyDescent="0.25">
      <c r="A104" s="18"/>
      <c r="B104" s="133"/>
      <c r="C104" s="126"/>
      <c r="D104" s="126"/>
      <c r="E104" s="127"/>
      <c r="F104" s="19">
        <v>2021</v>
      </c>
      <c r="G104" s="18">
        <f t="shared" si="3"/>
        <v>0</v>
      </c>
      <c r="H104" s="18">
        <v>0</v>
      </c>
      <c r="I104" s="18">
        <v>0</v>
      </c>
      <c r="J104" s="18">
        <v>0</v>
      </c>
      <c r="K104" s="18" t="s">
        <v>84</v>
      </c>
      <c r="L104" s="14"/>
    </row>
    <row r="105" spans="1:12" hidden="1" x14ac:dyDescent="0.25">
      <c r="A105" s="18"/>
      <c r="B105" s="133"/>
      <c r="C105" s="126"/>
      <c r="D105" s="126"/>
      <c r="E105" s="127"/>
      <c r="F105" s="19">
        <v>2022</v>
      </c>
      <c r="G105" s="18">
        <f t="shared" si="3"/>
        <v>0</v>
      </c>
      <c r="H105" s="18">
        <v>0</v>
      </c>
      <c r="I105" s="18">
        <v>0</v>
      </c>
      <c r="J105" s="18">
        <v>0</v>
      </c>
      <c r="K105" s="18" t="s">
        <v>84</v>
      </c>
      <c r="L105" s="14"/>
    </row>
    <row r="106" spans="1:12" hidden="1" x14ac:dyDescent="0.25">
      <c r="A106" s="18"/>
      <c r="B106" s="54"/>
      <c r="C106" s="55"/>
      <c r="D106" s="55"/>
      <c r="E106" s="56"/>
      <c r="F106" s="19">
        <v>2023</v>
      </c>
      <c r="G106" s="18"/>
      <c r="H106" s="18"/>
      <c r="I106" s="18"/>
      <c r="J106" s="18"/>
      <c r="K106" s="18" t="s">
        <v>84</v>
      </c>
      <c r="L106" s="14"/>
    </row>
    <row r="107" spans="1:12" hidden="1" x14ac:dyDescent="0.25">
      <c r="A107" s="18"/>
      <c r="B107" s="54"/>
      <c r="C107" s="55"/>
      <c r="D107" s="55"/>
      <c r="E107" s="56"/>
      <c r="F107" s="19">
        <v>2024</v>
      </c>
      <c r="G107" s="18"/>
      <c r="H107" s="18"/>
      <c r="I107" s="18"/>
      <c r="J107" s="18"/>
      <c r="K107" s="18" t="s">
        <v>84</v>
      </c>
      <c r="L107" s="14"/>
    </row>
    <row r="108" spans="1:12" hidden="1" x14ac:dyDescent="0.25">
      <c r="A108" s="18"/>
      <c r="B108" s="54"/>
      <c r="C108" s="55"/>
      <c r="D108" s="55"/>
      <c r="E108" s="56"/>
      <c r="F108" s="19">
        <v>2025</v>
      </c>
      <c r="G108" s="18"/>
      <c r="H108" s="18"/>
      <c r="I108" s="18"/>
      <c r="J108" s="18"/>
      <c r="K108" s="18" t="s">
        <v>84</v>
      </c>
      <c r="L108" s="14"/>
    </row>
    <row r="109" spans="1:12" s="13" customFormat="1" ht="14.25" hidden="1" x14ac:dyDescent="0.2">
      <c r="A109" s="23"/>
      <c r="B109" s="184" t="s">
        <v>50</v>
      </c>
      <c r="C109" s="184"/>
      <c r="D109" s="184"/>
      <c r="E109" s="185"/>
      <c r="F109" s="38">
        <v>2014</v>
      </c>
      <c r="G109" s="23">
        <f t="shared" ref="G109:I117" si="4">G84+G97</f>
        <v>129.54</v>
      </c>
      <c r="H109" s="23">
        <f t="shared" si="4"/>
        <v>127</v>
      </c>
      <c r="I109" s="23">
        <f t="shared" si="4"/>
        <v>2.54</v>
      </c>
      <c r="J109" s="23"/>
      <c r="K109" s="18" t="s">
        <v>84</v>
      </c>
      <c r="L109" s="29"/>
    </row>
    <row r="110" spans="1:12" s="13" customFormat="1" ht="14.25" hidden="1" x14ac:dyDescent="0.2">
      <c r="A110" s="23"/>
      <c r="B110" s="186"/>
      <c r="C110" s="186"/>
      <c r="D110" s="186"/>
      <c r="E110" s="187"/>
      <c r="F110" s="38">
        <v>2015</v>
      </c>
      <c r="G110" s="23">
        <f t="shared" si="4"/>
        <v>0</v>
      </c>
      <c r="H110" s="23">
        <f t="shared" si="4"/>
        <v>0</v>
      </c>
      <c r="I110" s="23">
        <f t="shared" si="4"/>
        <v>0</v>
      </c>
      <c r="J110" s="23"/>
      <c r="K110" s="18" t="s">
        <v>84</v>
      </c>
      <c r="L110" s="29"/>
    </row>
    <row r="111" spans="1:12" s="13" customFormat="1" ht="14.25" hidden="1" x14ac:dyDescent="0.2">
      <c r="A111" s="23"/>
      <c r="B111" s="186"/>
      <c r="C111" s="186"/>
      <c r="D111" s="186"/>
      <c r="E111" s="187"/>
      <c r="F111" s="38">
        <v>2016</v>
      </c>
      <c r="G111" s="23">
        <f t="shared" si="4"/>
        <v>141.54</v>
      </c>
      <c r="H111" s="23">
        <f t="shared" si="4"/>
        <v>103</v>
      </c>
      <c r="I111" s="23">
        <f t="shared" si="4"/>
        <v>38.54</v>
      </c>
      <c r="J111" s="23"/>
      <c r="K111" s="18" t="s">
        <v>84</v>
      </c>
      <c r="L111" s="29"/>
    </row>
    <row r="112" spans="1:12" s="13" customFormat="1" ht="14.25" hidden="1" x14ac:dyDescent="0.2">
      <c r="A112" s="23"/>
      <c r="B112" s="186"/>
      <c r="C112" s="186"/>
      <c r="D112" s="186"/>
      <c r="E112" s="187"/>
      <c r="F112" s="38">
        <v>2017</v>
      </c>
      <c r="G112" s="23">
        <f t="shared" si="4"/>
        <v>1420.32</v>
      </c>
      <c r="H112" s="23">
        <f t="shared" si="4"/>
        <v>216</v>
      </c>
      <c r="I112" s="23">
        <f t="shared" si="4"/>
        <v>1204.32</v>
      </c>
      <c r="J112" s="23"/>
      <c r="K112" s="18" t="s">
        <v>84</v>
      </c>
      <c r="L112" s="29"/>
    </row>
    <row r="113" spans="1:12" s="13" customFormat="1" ht="14.25" hidden="1" x14ac:dyDescent="0.2">
      <c r="A113" s="23"/>
      <c r="B113" s="186"/>
      <c r="C113" s="186"/>
      <c r="D113" s="186"/>
      <c r="E113" s="187"/>
      <c r="F113" s="38">
        <v>2018</v>
      </c>
      <c r="G113" s="23">
        <f t="shared" si="4"/>
        <v>10153.06122</v>
      </c>
      <c r="H113" s="23">
        <f t="shared" si="4"/>
        <v>9950</v>
      </c>
      <c r="I113" s="23">
        <f t="shared" si="4"/>
        <v>203.06121999999999</v>
      </c>
      <c r="J113" s="23"/>
      <c r="K113" s="18" t="s">
        <v>84</v>
      </c>
      <c r="L113" s="29"/>
    </row>
    <row r="114" spans="1:12" s="13" customFormat="1" ht="14.25" hidden="1" x14ac:dyDescent="0.2">
      <c r="A114" s="23"/>
      <c r="B114" s="186"/>
      <c r="C114" s="186"/>
      <c r="D114" s="186"/>
      <c r="E114" s="187"/>
      <c r="F114" s="38">
        <v>2019</v>
      </c>
      <c r="G114" s="23">
        <f t="shared" si="4"/>
        <v>11870</v>
      </c>
      <c r="H114" s="23">
        <f t="shared" si="4"/>
        <v>11632.6</v>
      </c>
      <c r="I114" s="23">
        <f t="shared" si="4"/>
        <v>237.4</v>
      </c>
      <c r="J114" s="23"/>
      <c r="K114" s="18" t="s">
        <v>84</v>
      </c>
      <c r="L114" s="29"/>
    </row>
    <row r="115" spans="1:12" s="13" customFormat="1" ht="14.25" hidden="1" x14ac:dyDescent="0.2">
      <c r="A115" s="23"/>
      <c r="B115" s="186"/>
      <c r="C115" s="186"/>
      <c r="D115" s="186"/>
      <c r="E115" s="187"/>
      <c r="F115" s="38">
        <v>2020</v>
      </c>
      <c r="G115" s="23">
        <f t="shared" si="4"/>
        <v>0</v>
      </c>
      <c r="H115" s="23">
        <f t="shared" si="4"/>
        <v>0</v>
      </c>
      <c r="I115" s="23">
        <f t="shared" si="4"/>
        <v>0</v>
      </c>
      <c r="J115" s="23"/>
      <c r="K115" s="18" t="s">
        <v>84</v>
      </c>
      <c r="L115" s="29"/>
    </row>
    <row r="116" spans="1:12" s="13" customFormat="1" ht="14.25" hidden="1" x14ac:dyDescent="0.2">
      <c r="A116" s="23"/>
      <c r="B116" s="186"/>
      <c r="C116" s="186"/>
      <c r="D116" s="186"/>
      <c r="E116" s="187"/>
      <c r="F116" s="38">
        <v>2021</v>
      </c>
      <c r="G116" s="23">
        <f t="shared" si="4"/>
        <v>0</v>
      </c>
      <c r="H116" s="23">
        <f t="shared" si="4"/>
        <v>0</v>
      </c>
      <c r="I116" s="23">
        <f t="shared" si="4"/>
        <v>0</v>
      </c>
      <c r="J116" s="23"/>
      <c r="K116" s="18" t="s">
        <v>84</v>
      </c>
      <c r="L116" s="29"/>
    </row>
    <row r="117" spans="1:12" s="13" customFormat="1" ht="14.25" hidden="1" x14ac:dyDescent="0.2">
      <c r="A117" s="23"/>
      <c r="B117" s="186"/>
      <c r="C117" s="186"/>
      <c r="D117" s="186"/>
      <c r="E117" s="187"/>
      <c r="F117" s="38">
        <v>2022</v>
      </c>
      <c r="G117" s="23">
        <f t="shared" si="4"/>
        <v>0</v>
      </c>
      <c r="H117" s="23">
        <f t="shared" si="4"/>
        <v>0</v>
      </c>
      <c r="I117" s="23">
        <f t="shared" si="4"/>
        <v>0</v>
      </c>
      <c r="J117" s="23"/>
      <c r="K117" s="18" t="s">
        <v>84</v>
      </c>
      <c r="L117" s="29"/>
    </row>
    <row r="118" spans="1:12" s="13" customFormat="1" ht="14.25" hidden="1" x14ac:dyDescent="0.2">
      <c r="A118" s="43"/>
      <c r="B118" s="186"/>
      <c r="C118" s="186"/>
      <c r="D118" s="186"/>
      <c r="E118" s="187"/>
      <c r="F118" s="38">
        <v>2023</v>
      </c>
      <c r="G118" s="38">
        <f>'Чистая вода '!G37</f>
        <v>0</v>
      </c>
      <c r="H118" s="38">
        <f>'Чистая вода '!H37</f>
        <v>0</v>
      </c>
      <c r="I118" s="38">
        <f>'Чистая вода '!I37</f>
        <v>0</v>
      </c>
      <c r="J118" s="38"/>
      <c r="K118" s="18" t="s">
        <v>84</v>
      </c>
      <c r="L118" s="29"/>
    </row>
    <row r="119" spans="1:12" s="13" customFormat="1" ht="14.25" hidden="1" x14ac:dyDescent="0.2">
      <c r="A119" s="43"/>
      <c r="B119" s="186"/>
      <c r="C119" s="186"/>
      <c r="D119" s="186"/>
      <c r="E119" s="187"/>
      <c r="F119" s="38">
        <v>2024</v>
      </c>
      <c r="G119" s="38">
        <f>'Чистая вода '!G38</f>
        <v>0</v>
      </c>
      <c r="H119" s="38">
        <f>'Чистая вода '!H38</f>
        <v>0</v>
      </c>
      <c r="I119" s="38">
        <f>'Чистая вода '!I38</f>
        <v>0</v>
      </c>
      <c r="J119" s="38"/>
      <c r="K119" s="18" t="s">
        <v>84</v>
      </c>
      <c r="L119" s="29"/>
    </row>
    <row r="120" spans="1:12" s="13" customFormat="1" ht="14.25" hidden="1" x14ac:dyDescent="0.2">
      <c r="A120" s="43"/>
      <c r="B120" s="188"/>
      <c r="C120" s="188"/>
      <c r="D120" s="188"/>
      <c r="E120" s="189"/>
      <c r="F120" s="38">
        <v>2025</v>
      </c>
      <c r="G120" s="38">
        <f>'Чистая вода '!G39</f>
        <v>0</v>
      </c>
      <c r="H120" s="38">
        <f>'Чистая вода '!H39</f>
        <v>0</v>
      </c>
      <c r="I120" s="38">
        <f>'Чистая вода '!I39</f>
        <v>0</v>
      </c>
      <c r="J120" s="38"/>
      <c r="K120" s="18" t="s">
        <v>84</v>
      </c>
      <c r="L120" s="29"/>
    </row>
    <row r="121" spans="1:12" hidden="1" x14ac:dyDescent="0.25">
      <c r="A121" s="140" t="s">
        <v>51</v>
      </c>
      <c r="B121" s="141"/>
      <c r="C121" s="141"/>
      <c r="D121" s="141"/>
      <c r="E121" s="141"/>
      <c r="F121" s="141"/>
      <c r="G121" s="141"/>
      <c r="H121" s="141"/>
      <c r="I121" s="141"/>
      <c r="J121" s="141"/>
      <c r="K121" s="142"/>
      <c r="L121" s="14"/>
    </row>
    <row r="122" spans="1:12" ht="83.25" hidden="1" customHeight="1" x14ac:dyDescent="0.25">
      <c r="A122" s="23" t="s">
        <v>52</v>
      </c>
      <c r="B122" s="120" t="s">
        <v>53</v>
      </c>
      <c r="C122" s="121"/>
      <c r="D122" s="121"/>
      <c r="E122" s="122"/>
      <c r="F122" s="19"/>
      <c r="G122" s="18"/>
      <c r="H122" s="18"/>
      <c r="I122" s="18"/>
      <c r="J122" s="18"/>
      <c r="K122" s="18"/>
      <c r="L122" s="14"/>
    </row>
    <row r="123" spans="1:12" hidden="1" x14ac:dyDescent="0.25">
      <c r="A123" s="18"/>
      <c r="B123" s="133"/>
      <c r="C123" s="126"/>
      <c r="D123" s="126"/>
      <c r="E123" s="127"/>
      <c r="F123" s="19">
        <v>2014</v>
      </c>
      <c r="G123" s="18">
        <f>H123+I123+J123</f>
        <v>734.55000000000007</v>
      </c>
      <c r="H123" s="18">
        <v>661.09500000000003</v>
      </c>
      <c r="I123" s="18">
        <v>73.454999999999998</v>
      </c>
      <c r="J123" s="18"/>
      <c r="K123" s="18" t="s">
        <v>84</v>
      </c>
      <c r="L123" s="14"/>
    </row>
    <row r="124" spans="1:12" ht="49.5" hidden="1" customHeight="1" x14ac:dyDescent="0.25">
      <c r="A124" s="18"/>
      <c r="B124" s="123" t="s">
        <v>54</v>
      </c>
      <c r="C124" s="126"/>
      <c r="D124" s="126"/>
      <c r="E124" s="127"/>
      <c r="F124" s="19">
        <v>2015</v>
      </c>
      <c r="G124" s="18">
        <f t="shared" ref="G124:G143" si="5">H124+I124+J124</f>
        <v>1691.5</v>
      </c>
      <c r="H124" s="18">
        <v>0</v>
      </c>
      <c r="I124" s="18">
        <v>1691.5</v>
      </c>
      <c r="J124" s="18"/>
      <c r="K124" s="18" t="s">
        <v>84</v>
      </c>
      <c r="L124" s="14"/>
    </row>
    <row r="125" spans="1:12" ht="65.25" hidden="1" customHeight="1" x14ac:dyDescent="0.25">
      <c r="A125" s="18"/>
      <c r="B125" s="123" t="s">
        <v>57</v>
      </c>
      <c r="C125" s="126"/>
      <c r="D125" s="126"/>
      <c r="E125" s="127"/>
      <c r="F125" s="19">
        <v>2016</v>
      </c>
      <c r="G125" s="18">
        <f t="shared" si="5"/>
        <v>2993.7317200000002</v>
      </c>
      <c r="H125" s="18">
        <v>0</v>
      </c>
      <c r="I125" s="18">
        <f>2988.83172+4.9</f>
        <v>2993.7317200000002</v>
      </c>
      <c r="J125" s="18"/>
      <c r="K125" s="18" t="s">
        <v>84</v>
      </c>
      <c r="L125" s="14"/>
    </row>
    <row r="126" spans="1:12" ht="44.25" hidden="1" customHeight="1" x14ac:dyDescent="0.25">
      <c r="A126" s="18"/>
      <c r="B126" s="123" t="s">
        <v>58</v>
      </c>
      <c r="C126" s="126"/>
      <c r="D126" s="126"/>
      <c r="E126" s="127"/>
      <c r="F126" s="19">
        <v>2017</v>
      </c>
      <c r="G126" s="18">
        <f t="shared" si="5"/>
        <v>3337.73</v>
      </c>
      <c r="H126" s="18">
        <v>0</v>
      </c>
      <c r="I126" s="18">
        <v>3337.73</v>
      </c>
      <c r="J126" s="18"/>
      <c r="K126" s="18" t="s">
        <v>84</v>
      </c>
      <c r="L126" s="14"/>
    </row>
    <row r="127" spans="1:12" ht="69.75" hidden="1" customHeight="1" x14ac:dyDescent="0.25">
      <c r="A127" s="18"/>
      <c r="B127" s="123" t="s">
        <v>59</v>
      </c>
      <c r="C127" s="126"/>
      <c r="D127" s="126"/>
      <c r="E127" s="127"/>
      <c r="F127" s="19">
        <v>2018</v>
      </c>
      <c r="G127" s="18">
        <f t="shared" si="5"/>
        <v>3232.3</v>
      </c>
      <c r="H127" s="18">
        <v>0</v>
      </c>
      <c r="I127" s="18">
        <f>1232.3+2000</f>
        <v>3232.3</v>
      </c>
      <c r="J127" s="18"/>
      <c r="K127" s="18" t="s">
        <v>84</v>
      </c>
      <c r="L127" s="14"/>
    </row>
    <row r="128" spans="1:12" ht="23.25" hidden="1" customHeight="1" x14ac:dyDescent="0.25">
      <c r="A128" s="18"/>
      <c r="B128" s="133" t="s">
        <v>55</v>
      </c>
      <c r="C128" s="126"/>
      <c r="D128" s="126"/>
      <c r="E128" s="127"/>
      <c r="F128" s="19">
        <v>2019</v>
      </c>
      <c r="G128" s="18">
        <f t="shared" si="5"/>
        <v>6232.3261499999999</v>
      </c>
      <c r="H128" s="18">
        <v>0</v>
      </c>
      <c r="I128" s="18">
        <v>6232.3261499999999</v>
      </c>
      <c r="J128" s="18"/>
      <c r="K128" s="18" t="s">
        <v>84</v>
      </c>
      <c r="L128" s="14"/>
    </row>
    <row r="129" spans="1:12" ht="26.25" hidden="1" customHeight="1" x14ac:dyDescent="0.25">
      <c r="A129" s="18"/>
      <c r="B129" s="123" t="s">
        <v>56</v>
      </c>
      <c r="C129" s="126"/>
      <c r="D129" s="126"/>
      <c r="E129" s="127"/>
      <c r="F129" s="19">
        <v>2020</v>
      </c>
      <c r="G129" s="18">
        <f t="shared" si="5"/>
        <v>0</v>
      </c>
      <c r="H129" s="18">
        <v>0</v>
      </c>
      <c r="I129" s="18">
        <v>0</v>
      </c>
      <c r="J129" s="18"/>
      <c r="K129" s="18" t="s">
        <v>84</v>
      </c>
      <c r="L129" s="14"/>
    </row>
    <row r="130" spans="1:12" hidden="1" x14ac:dyDescent="0.25">
      <c r="A130" s="18"/>
      <c r="B130" s="133"/>
      <c r="C130" s="126"/>
      <c r="D130" s="126"/>
      <c r="E130" s="127"/>
      <c r="F130" s="19">
        <v>2021</v>
      </c>
      <c r="G130" s="18">
        <f t="shared" si="5"/>
        <v>0</v>
      </c>
      <c r="H130" s="18">
        <v>0</v>
      </c>
      <c r="I130" s="18">
        <v>0</v>
      </c>
      <c r="J130" s="18"/>
      <c r="K130" s="18" t="s">
        <v>84</v>
      </c>
      <c r="L130" s="14"/>
    </row>
    <row r="131" spans="1:12" hidden="1" x14ac:dyDescent="0.25">
      <c r="A131" s="18"/>
      <c r="B131" s="133"/>
      <c r="C131" s="126"/>
      <c r="D131" s="126"/>
      <c r="E131" s="127"/>
      <c r="F131" s="19">
        <v>2022</v>
      </c>
      <c r="G131" s="18">
        <f t="shared" si="5"/>
        <v>0</v>
      </c>
      <c r="H131" s="18">
        <v>0</v>
      </c>
      <c r="I131" s="18">
        <v>0</v>
      </c>
      <c r="J131" s="18"/>
      <c r="K131" s="18" t="s">
        <v>84</v>
      </c>
      <c r="L131" s="14"/>
    </row>
    <row r="132" spans="1:12" hidden="1" x14ac:dyDescent="0.25">
      <c r="A132" s="18"/>
      <c r="B132" s="40"/>
      <c r="C132" s="41"/>
      <c r="D132" s="41"/>
      <c r="E132" s="42"/>
      <c r="F132" s="19">
        <v>2023</v>
      </c>
      <c r="G132" s="18"/>
      <c r="H132" s="18"/>
      <c r="I132" s="18"/>
      <c r="J132" s="18"/>
      <c r="K132" s="18" t="s">
        <v>84</v>
      </c>
      <c r="L132" s="14"/>
    </row>
    <row r="133" spans="1:12" hidden="1" x14ac:dyDescent="0.25">
      <c r="A133" s="18"/>
      <c r="B133" s="40"/>
      <c r="C133" s="41"/>
      <c r="D133" s="41"/>
      <c r="E133" s="42"/>
      <c r="F133" s="19">
        <v>2024</v>
      </c>
      <c r="G133" s="18"/>
      <c r="H133" s="18"/>
      <c r="I133" s="18"/>
      <c r="J133" s="18"/>
      <c r="K133" s="18" t="s">
        <v>84</v>
      </c>
      <c r="L133" s="14"/>
    </row>
    <row r="134" spans="1:12" hidden="1" x14ac:dyDescent="0.25">
      <c r="A134" s="18"/>
      <c r="B134" s="40"/>
      <c r="C134" s="41"/>
      <c r="D134" s="41"/>
      <c r="E134" s="42"/>
      <c r="F134" s="19">
        <v>2025</v>
      </c>
      <c r="G134" s="18"/>
      <c r="H134" s="18"/>
      <c r="I134" s="18"/>
      <c r="J134" s="18"/>
      <c r="K134" s="18" t="s">
        <v>84</v>
      </c>
      <c r="L134" s="14"/>
    </row>
    <row r="135" spans="1:12" hidden="1" x14ac:dyDescent="0.25">
      <c r="A135" s="8" t="s">
        <v>60</v>
      </c>
      <c r="B135" s="197" t="s">
        <v>61</v>
      </c>
      <c r="C135" s="121"/>
      <c r="D135" s="121"/>
      <c r="E135" s="122"/>
      <c r="F135" s="19">
        <v>2014</v>
      </c>
      <c r="G135" s="18">
        <f t="shared" si="5"/>
        <v>0</v>
      </c>
      <c r="H135" s="18"/>
      <c r="I135" s="18"/>
      <c r="J135" s="18"/>
      <c r="K135" s="18"/>
      <c r="L135" s="14"/>
    </row>
    <row r="136" spans="1:12" hidden="1" x14ac:dyDescent="0.25">
      <c r="A136" s="18"/>
      <c r="B136" s="133"/>
      <c r="C136" s="126"/>
      <c r="D136" s="126"/>
      <c r="E136" s="127"/>
      <c r="F136" s="19">
        <v>2015</v>
      </c>
      <c r="G136" s="18">
        <f t="shared" si="5"/>
        <v>0</v>
      </c>
      <c r="H136" s="18"/>
      <c r="I136" s="18"/>
      <c r="J136" s="18"/>
      <c r="K136" s="18" t="s">
        <v>84</v>
      </c>
      <c r="L136" s="14"/>
    </row>
    <row r="137" spans="1:12" hidden="1" x14ac:dyDescent="0.25">
      <c r="A137" s="10"/>
      <c r="B137" s="201"/>
      <c r="C137" s="202"/>
      <c r="D137" s="202"/>
      <c r="E137" s="203"/>
      <c r="F137" s="48">
        <v>2016</v>
      </c>
      <c r="G137" s="18">
        <f t="shared" si="5"/>
        <v>0</v>
      </c>
      <c r="H137" s="10"/>
      <c r="I137" s="10"/>
      <c r="J137" s="10"/>
      <c r="K137" s="18" t="s">
        <v>84</v>
      </c>
      <c r="L137" s="11"/>
    </row>
    <row r="138" spans="1:12" hidden="1" x14ac:dyDescent="0.25">
      <c r="A138" s="10"/>
      <c r="B138" s="201"/>
      <c r="C138" s="202"/>
      <c r="D138" s="202"/>
      <c r="E138" s="203"/>
      <c r="F138" s="48">
        <v>2017</v>
      </c>
      <c r="G138" s="18">
        <f t="shared" si="5"/>
        <v>0</v>
      </c>
      <c r="H138" s="10"/>
      <c r="I138" s="10"/>
      <c r="J138" s="10"/>
      <c r="K138" s="18" t="s">
        <v>84</v>
      </c>
      <c r="L138" s="11"/>
    </row>
    <row r="139" spans="1:12" hidden="1" x14ac:dyDescent="0.25">
      <c r="A139" s="18"/>
      <c r="B139" s="133"/>
      <c r="C139" s="126"/>
      <c r="D139" s="126"/>
      <c r="E139" s="127"/>
      <c r="F139" s="19">
        <v>2018</v>
      </c>
      <c r="G139" s="18">
        <f t="shared" si="5"/>
        <v>0</v>
      </c>
      <c r="H139" s="18"/>
      <c r="I139" s="18"/>
      <c r="J139" s="18"/>
      <c r="K139" s="18" t="s">
        <v>84</v>
      </c>
      <c r="L139" s="11"/>
    </row>
    <row r="140" spans="1:12" hidden="1" x14ac:dyDescent="0.25">
      <c r="A140" s="18"/>
      <c r="B140" s="133"/>
      <c r="C140" s="126"/>
      <c r="D140" s="126"/>
      <c r="E140" s="127"/>
      <c r="F140" s="19">
        <v>2019</v>
      </c>
      <c r="G140" s="18">
        <f t="shared" si="5"/>
        <v>0</v>
      </c>
      <c r="H140" s="18"/>
      <c r="I140" s="18"/>
      <c r="J140" s="18"/>
      <c r="K140" s="18" t="s">
        <v>84</v>
      </c>
    </row>
    <row r="141" spans="1:12" hidden="1" x14ac:dyDescent="0.25">
      <c r="A141" s="18"/>
      <c r="B141" s="133"/>
      <c r="C141" s="126"/>
      <c r="D141" s="126"/>
      <c r="E141" s="127"/>
      <c r="F141" s="19">
        <v>2020</v>
      </c>
      <c r="G141" s="18">
        <f t="shared" si="5"/>
        <v>0</v>
      </c>
      <c r="H141" s="18"/>
      <c r="I141" s="18"/>
      <c r="J141" s="18"/>
      <c r="K141" s="18" t="s">
        <v>84</v>
      </c>
    </row>
    <row r="142" spans="1:12" hidden="1" x14ac:dyDescent="0.25">
      <c r="A142" s="18"/>
      <c r="B142" s="133"/>
      <c r="C142" s="126"/>
      <c r="D142" s="126"/>
      <c r="E142" s="127"/>
      <c r="F142" s="19">
        <v>2021</v>
      </c>
      <c r="G142" s="18">
        <f t="shared" si="5"/>
        <v>0</v>
      </c>
      <c r="H142" s="18"/>
      <c r="I142" s="18"/>
      <c r="J142" s="18"/>
      <c r="K142" s="18" t="s">
        <v>84</v>
      </c>
    </row>
    <row r="143" spans="1:12" hidden="1" x14ac:dyDescent="0.25">
      <c r="A143" s="18"/>
      <c r="B143" s="133"/>
      <c r="C143" s="126"/>
      <c r="D143" s="126"/>
      <c r="E143" s="127"/>
      <c r="F143" s="19">
        <v>2022</v>
      </c>
      <c r="G143" s="18">
        <f t="shared" si="5"/>
        <v>0</v>
      </c>
      <c r="H143" s="18"/>
      <c r="I143" s="18"/>
      <c r="J143" s="18"/>
      <c r="K143" s="18" t="s">
        <v>84</v>
      </c>
    </row>
    <row r="144" spans="1:12" hidden="1" x14ac:dyDescent="0.25">
      <c r="A144" s="18"/>
      <c r="B144" s="40"/>
      <c r="C144" s="41"/>
      <c r="D144" s="41"/>
      <c r="E144" s="42"/>
      <c r="F144" s="19">
        <v>2023</v>
      </c>
      <c r="G144" s="18"/>
      <c r="H144" s="18"/>
      <c r="I144" s="18"/>
      <c r="J144" s="18"/>
      <c r="K144" s="18" t="s">
        <v>84</v>
      </c>
    </row>
    <row r="145" spans="1:11" hidden="1" x14ac:dyDescent="0.25">
      <c r="A145" s="18"/>
      <c r="B145" s="40"/>
      <c r="C145" s="41"/>
      <c r="D145" s="41"/>
      <c r="E145" s="42"/>
      <c r="F145" s="19">
        <v>2024</v>
      </c>
      <c r="G145" s="18"/>
      <c r="H145" s="18"/>
      <c r="I145" s="18"/>
      <c r="J145" s="18"/>
      <c r="K145" s="18" t="s">
        <v>84</v>
      </c>
    </row>
    <row r="146" spans="1:11" hidden="1" x14ac:dyDescent="0.25">
      <c r="A146" s="18"/>
      <c r="B146" s="40"/>
      <c r="C146" s="41"/>
      <c r="D146" s="41"/>
      <c r="E146" s="42"/>
      <c r="F146" s="19">
        <v>2025</v>
      </c>
      <c r="G146" s="18"/>
      <c r="H146" s="18"/>
      <c r="I146" s="18"/>
      <c r="J146" s="18"/>
      <c r="K146" s="18" t="s">
        <v>84</v>
      </c>
    </row>
    <row r="147" spans="1:11" ht="33" hidden="1" customHeight="1" x14ac:dyDescent="0.25">
      <c r="A147" s="12" t="s">
        <v>62</v>
      </c>
      <c r="B147" s="198" t="s">
        <v>63</v>
      </c>
      <c r="C147" s="199"/>
      <c r="D147" s="199"/>
      <c r="E147" s="200"/>
      <c r="F147" s="19"/>
      <c r="G147" s="18"/>
      <c r="H147" s="18"/>
      <c r="I147" s="18"/>
      <c r="J147" s="18"/>
      <c r="K147" s="18"/>
    </row>
    <row r="148" spans="1:11" ht="20.25" hidden="1" customHeight="1" x14ac:dyDescent="0.25">
      <c r="A148" s="18"/>
      <c r="B148" s="123"/>
      <c r="C148" s="126"/>
      <c r="D148" s="126"/>
      <c r="E148" s="127"/>
      <c r="F148" s="19">
        <v>2014</v>
      </c>
      <c r="G148" s="18">
        <f>H148+I148+J148</f>
        <v>300</v>
      </c>
      <c r="H148" s="18">
        <v>270</v>
      </c>
      <c r="I148" s="18">
        <v>30</v>
      </c>
      <c r="J148" s="18"/>
      <c r="K148" s="18" t="s">
        <v>84</v>
      </c>
    </row>
    <row r="149" spans="1:11" hidden="1" x14ac:dyDescent="0.25">
      <c r="A149" s="18"/>
      <c r="B149" s="133"/>
      <c r="C149" s="126"/>
      <c r="D149" s="126"/>
      <c r="E149" s="127"/>
      <c r="F149" s="19">
        <v>2015</v>
      </c>
      <c r="G149" s="18">
        <f t="shared" ref="G149:G156" si="6">H149+I149+J149</f>
        <v>29.21902</v>
      </c>
      <c r="H149" s="18">
        <v>0</v>
      </c>
      <c r="I149" s="18">
        <v>29.21902</v>
      </c>
      <c r="J149" s="18"/>
      <c r="K149" s="18" t="s">
        <v>84</v>
      </c>
    </row>
    <row r="150" spans="1:11" ht="36.75" hidden="1" customHeight="1" x14ac:dyDescent="0.25">
      <c r="A150" s="18"/>
      <c r="B150" s="123" t="s">
        <v>67</v>
      </c>
      <c r="C150" s="126"/>
      <c r="D150" s="126"/>
      <c r="E150" s="127"/>
      <c r="F150" s="19">
        <v>2016</v>
      </c>
      <c r="G150" s="18">
        <f t="shared" si="6"/>
        <v>342.4</v>
      </c>
      <c r="H150" s="18">
        <v>0</v>
      </c>
      <c r="I150" s="18">
        <f>50+292.4</f>
        <v>342.4</v>
      </c>
      <c r="J150" s="18"/>
      <c r="K150" s="18" t="s">
        <v>84</v>
      </c>
    </row>
    <row r="151" spans="1:11" hidden="1" x14ac:dyDescent="0.25">
      <c r="A151" s="18"/>
      <c r="B151" s="133" t="s">
        <v>64</v>
      </c>
      <c r="C151" s="126"/>
      <c r="D151" s="126"/>
      <c r="E151" s="127"/>
      <c r="F151" s="19">
        <v>2017</v>
      </c>
      <c r="G151" s="18">
        <f t="shared" si="6"/>
        <v>600</v>
      </c>
      <c r="H151" s="18">
        <v>0</v>
      </c>
      <c r="I151" s="18">
        <v>600</v>
      </c>
      <c r="J151" s="18"/>
      <c r="K151" s="18" t="s">
        <v>84</v>
      </c>
    </row>
    <row r="152" spans="1:11" ht="30" hidden="1" customHeight="1" x14ac:dyDescent="0.25">
      <c r="A152" s="18"/>
      <c r="B152" s="123" t="s">
        <v>66</v>
      </c>
      <c r="C152" s="126"/>
      <c r="D152" s="126"/>
      <c r="E152" s="127"/>
      <c r="F152" s="19">
        <v>2018</v>
      </c>
      <c r="G152" s="18">
        <f t="shared" si="6"/>
        <v>2300</v>
      </c>
      <c r="H152" s="18">
        <v>0</v>
      </c>
      <c r="I152" s="18">
        <f>300+2000</f>
        <v>2300</v>
      </c>
      <c r="J152" s="18"/>
      <c r="K152" s="18" t="s">
        <v>84</v>
      </c>
    </row>
    <row r="153" spans="1:11" hidden="1" x14ac:dyDescent="0.25">
      <c r="A153" s="18"/>
      <c r="B153" s="133" t="s">
        <v>65</v>
      </c>
      <c r="C153" s="126"/>
      <c r="D153" s="126"/>
      <c r="E153" s="127"/>
      <c r="F153" s="19">
        <v>2019</v>
      </c>
      <c r="G153" s="18">
        <f t="shared" si="6"/>
        <v>450</v>
      </c>
      <c r="H153" s="18">
        <v>0</v>
      </c>
      <c r="I153" s="18">
        <v>450</v>
      </c>
      <c r="J153" s="18"/>
      <c r="K153" s="18" t="s">
        <v>84</v>
      </c>
    </row>
    <row r="154" spans="1:11" hidden="1" x14ac:dyDescent="0.25">
      <c r="A154" s="18"/>
      <c r="B154" s="133" t="s">
        <v>65</v>
      </c>
      <c r="C154" s="126"/>
      <c r="D154" s="126"/>
      <c r="E154" s="127"/>
      <c r="F154" s="19">
        <v>2020</v>
      </c>
      <c r="G154" s="18">
        <f t="shared" si="6"/>
        <v>500</v>
      </c>
      <c r="H154" s="18">
        <v>0</v>
      </c>
      <c r="I154" s="18">
        <v>500</v>
      </c>
      <c r="J154" s="18"/>
      <c r="K154" s="18" t="s">
        <v>84</v>
      </c>
    </row>
    <row r="155" spans="1:11" hidden="1" x14ac:dyDescent="0.25">
      <c r="A155" s="18"/>
      <c r="B155" s="133" t="s">
        <v>65</v>
      </c>
      <c r="C155" s="126"/>
      <c r="D155" s="126"/>
      <c r="E155" s="127"/>
      <c r="F155" s="19">
        <v>2021</v>
      </c>
      <c r="G155" s="18">
        <f t="shared" si="6"/>
        <v>0</v>
      </c>
      <c r="H155" s="18"/>
      <c r="I155" s="18">
        <v>0</v>
      </c>
      <c r="J155" s="18"/>
      <c r="K155" s="18" t="s">
        <v>84</v>
      </c>
    </row>
    <row r="156" spans="1:11" hidden="1" x14ac:dyDescent="0.25">
      <c r="A156" s="18"/>
      <c r="B156" s="133" t="s">
        <v>65</v>
      </c>
      <c r="C156" s="126"/>
      <c r="D156" s="126"/>
      <c r="E156" s="127"/>
      <c r="F156" s="19">
        <v>2022</v>
      </c>
      <c r="G156" s="18">
        <f t="shared" si="6"/>
        <v>0</v>
      </c>
      <c r="H156" s="18"/>
      <c r="I156" s="18">
        <v>0</v>
      </c>
      <c r="J156" s="18"/>
      <c r="K156" s="18" t="s">
        <v>84</v>
      </c>
    </row>
    <row r="157" spans="1:11" hidden="1" x14ac:dyDescent="0.25">
      <c r="A157" s="18"/>
      <c r="B157" s="40"/>
      <c r="C157" s="41"/>
      <c r="D157" s="41"/>
      <c r="E157" s="42"/>
      <c r="F157" s="19">
        <v>2023</v>
      </c>
      <c r="G157" s="18"/>
      <c r="H157" s="18"/>
      <c r="I157" s="18"/>
      <c r="J157" s="18"/>
      <c r="K157" s="18" t="s">
        <v>84</v>
      </c>
    </row>
    <row r="158" spans="1:11" hidden="1" x14ac:dyDescent="0.25">
      <c r="A158" s="18"/>
      <c r="B158" s="40"/>
      <c r="C158" s="41"/>
      <c r="D158" s="41"/>
      <c r="E158" s="42"/>
      <c r="F158" s="19">
        <v>2024</v>
      </c>
      <c r="G158" s="18"/>
      <c r="H158" s="18"/>
      <c r="I158" s="18"/>
      <c r="J158" s="18"/>
      <c r="K158" s="18" t="s">
        <v>84</v>
      </c>
    </row>
    <row r="159" spans="1:11" hidden="1" x14ac:dyDescent="0.25">
      <c r="A159" s="18"/>
      <c r="B159" s="40"/>
      <c r="C159" s="41"/>
      <c r="D159" s="41"/>
      <c r="E159" s="42"/>
      <c r="F159" s="19">
        <v>2025</v>
      </c>
      <c r="G159" s="18"/>
      <c r="H159" s="18"/>
      <c r="I159" s="18"/>
      <c r="J159" s="18"/>
      <c r="K159" s="18" t="s">
        <v>84</v>
      </c>
    </row>
    <row r="160" spans="1:11" ht="30.75" hidden="1" customHeight="1" x14ac:dyDescent="0.25">
      <c r="A160" s="4" t="s">
        <v>68</v>
      </c>
      <c r="B160" s="198" t="s">
        <v>69</v>
      </c>
      <c r="C160" s="199"/>
      <c r="D160" s="199"/>
      <c r="E160" s="200"/>
      <c r="F160" s="19"/>
      <c r="G160" s="18"/>
      <c r="H160" s="18"/>
      <c r="I160" s="18"/>
      <c r="J160" s="18"/>
      <c r="K160" s="18"/>
    </row>
    <row r="161" spans="1:11" hidden="1" x14ac:dyDescent="0.25">
      <c r="A161" s="10"/>
      <c r="B161" s="201"/>
      <c r="C161" s="202"/>
      <c r="D161" s="202"/>
      <c r="E161" s="203"/>
      <c r="F161" s="19">
        <v>2014</v>
      </c>
      <c r="G161" s="18">
        <f>H161+I161+J161</f>
        <v>3000</v>
      </c>
      <c r="H161" s="18">
        <v>2700</v>
      </c>
      <c r="I161" s="18">
        <v>300</v>
      </c>
      <c r="J161" s="18"/>
      <c r="K161" s="18" t="s">
        <v>84</v>
      </c>
    </row>
    <row r="162" spans="1:11" hidden="1" x14ac:dyDescent="0.25">
      <c r="A162" s="18"/>
      <c r="B162" s="133"/>
      <c r="C162" s="126"/>
      <c r="D162" s="126"/>
      <c r="E162" s="127"/>
      <c r="F162" s="19">
        <v>2015</v>
      </c>
      <c r="G162" s="18">
        <f t="shared" ref="G162:G169" si="7">H162+I162+J162</f>
        <v>0</v>
      </c>
      <c r="H162" s="18">
        <v>0</v>
      </c>
      <c r="I162" s="18">
        <v>0</v>
      </c>
      <c r="J162" s="18"/>
      <c r="K162" s="18" t="s">
        <v>84</v>
      </c>
    </row>
    <row r="163" spans="1:11" ht="170.25" hidden="1" customHeight="1" x14ac:dyDescent="0.25">
      <c r="A163" s="18"/>
      <c r="B163" s="123" t="s">
        <v>70</v>
      </c>
      <c r="C163" s="126"/>
      <c r="D163" s="126"/>
      <c r="E163" s="127"/>
      <c r="F163" s="19">
        <v>2016</v>
      </c>
      <c r="G163" s="18">
        <f t="shared" si="7"/>
        <v>27138.799999999999</v>
      </c>
      <c r="H163" s="18"/>
      <c r="I163" s="18">
        <f>5350+300+9670+4500+5500+68.8+100+700+200+100+200+100+50+300</f>
        <v>27138.799999999999</v>
      </c>
      <c r="J163" s="18"/>
      <c r="K163" s="18" t="s">
        <v>84</v>
      </c>
    </row>
    <row r="164" spans="1:11" ht="100.5" hidden="1" customHeight="1" x14ac:dyDescent="0.25">
      <c r="A164" s="18"/>
      <c r="B164" s="123" t="s">
        <v>71</v>
      </c>
      <c r="C164" s="126"/>
      <c r="D164" s="126"/>
      <c r="E164" s="127"/>
      <c r="F164" s="19">
        <v>2017</v>
      </c>
      <c r="G164" s="18">
        <f t="shared" si="7"/>
        <v>6900</v>
      </c>
      <c r="H164" s="18"/>
      <c r="I164" s="18">
        <f>1050+5000+400+450</f>
        <v>6900</v>
      </c>
      <c r="J164" s="18"/>
      <c r="K164" s="18" t="s">
        <v>84</v>
      </c>
    </row>
    <row r="165" spans="1:11" ht="88.5" hidden="1" customHeight="1" x14ac:dyDescent="0.25">
      <c r="A165" s="18"/>
      <c r="B165" s="123" t="s">
        <v>72</v>
      </c>
      <c r="C165" s="126"/>
      <c r="D165" s="126"/>
      <c r="E165" s="127"/>
      <c r="F165" s="19">
        <v>2018</v>
      </c>
      <c r="G165" s="18">
        <f t="shared" si="7"/>
        <v>15227</v>
      </c>
      <c r="H165" s="18"/>
      <c r="I165" s="18">
        <f>5200+620+9407</f>
        <v>15227</v>
      </c>
      <c r="J165" s="18"/>
      <c r="K165" s="18" t="s">
        <v>84</v>
      </c>
    </row>
    <row r="166" spans="1:11" ht="76.5" hidden="1" customHeight="1" x14ac:dyDescent="0.25">
      <c r="A166" s="18"/>
      <c r="B166" s="123" t="s">
        <v>73</v>
      </c>
      <c r="C166" s="126"/>
      <c r="D166" s="126"/>
      <c r="E166" s="127"/>
      <c r="F166" s="19">
        <v>2019</v>
      </c>
      <c r="G166" s="18">
        <f t="shared" si="7"/>
        <v>19547.554999999997</v>
      </c>
      <c r="H166" s="18"/>
      <c r="I166" s="18">
        <f>9077.755+9300+365.8+404+400</f>
        <v>19547.554999999997</v>
      </c>
      <c r="J166" s="18"/>
      <c r="K166" s="18" t="s">
        <v>84</v>
      </c>
    </row>
    <row r="167" spans="1:11" hidden="1" x14ac:dyDescent="0.25">
      <c r="A167" s="18"/>
      <c r="B167" s="133"/>
      <c r="C167" s="126"/>
      <c r="D167" s="126"/>
      <c r="E167" s="127"/>
      <c r="F167" s="19">
        <v>2020</v>
      </c>
      <c r="G167" s="18">
        <f t="shared" si="7"/>
        <v>0</v>
      </c>
      <c r="H167" s="18"/>
      <c r="I167" s="18"/>
      <c r="J167" s="18"/>
      <c r="K167" s="18" t="s">
        <v>84</v>
      </c>
    </row>
    <row r="168" spans="1:11" hidden="1" x14ac:dyDescent="0.25">
      <c r="A168" s="18"/>
      <c r="B168" s="133"/>
      <c r="C168" s="126"/>
      <c r="D168" s="126"/>
      <c r="E168" s="127"/>
      <c r="F168" s="19">
        <v>2021</v>
      </c>
      <c r="G168" s="18">
        <f t="shared" si="7"/>
        <v>0</v>
      </c>
      <c r="H168" s="18"/>
      <c r="I168" s="18"/>
      <c r="J168" s="18"/>
      <c r="K168" s="18" t="s">
        <v>84</v>
      </c>
    </row>
    <row r="169" spans="1:11" hidden="1" x14ac:dyDescent="0.25">
      <c r="A169" s="18"/>
      <c r="B169" s="133"/>
      <c r="C169" s="126"/>
      <c r="D169" s="126"/>
      <c r="E169" s="127"/>
      <c r="F169" s="19">
        <v>2022</v>
      </c>
      <c r="G169" s="18">
        <f t="shared" si="7"/>
        <v>0</v>
      </c>
      <c r="H169" s="18"/>
      <c r="I169" s="18"/>
      <c r="J169" s="18"/>
      <c r="K169" s="18" t="s">
        <v>84</v>
      </c>
    </row>
    <row r="170" spans="1:11" hidden="1" x14ac:dyDescent="0.25">
      <c r="A170" s="18"/>
      <c r="B170" s="40"/>
      <c r="C170" s="41"/>
      <c r="D170" s="41"/>
      <c r="E170" s="42"/>
      <c r="F170" s="19">
        <v>2023</v>
      </c>
      <c r="G170" s="18"/>
      <c r="H170" s="18"/>
      <c r="I170" s="18"/>
      <c r="J170" s="18"/>
      <c r="K170" s="18" t="s">
        <v>84</v>
      </c>
    </row>
    <row r="171" spans="1:11" hidden="1" x14ac:dyDescent="0.25">
      <c r="A171" s="18"/>
      <c r="B171" s="40"/>
      <c r="C171" s="41"/>
      <c r="D171" s="41"/>
      <c r="E171" s="42"/>
      <c r="F171" s="19">
        <v>2024</v>
      </c>
      <c r="G171" s="18"/>
      <c r="H171" s="18"/>
      <c r="I171" s="18"/>
      <c r="J171" s="18"/>
      <c r="K171" s="18" t="s">
        <v>84</v>
      </c>
    </row>
    <row r="172" spans="1:11" hidden="1" x14ac:dyDescent="0.25">
      <c r="A172" s="18"/>
      <c r="B172" s="40"/>
      <c r="C172" s="41"/>
      <c r="D172" s="41"/>
      <c r="E172" s="42"/>
      <c r="F172" s="19">
        <v>2025</v>
      </c>
      <c r="G172" s="18"/>
      <c r="H172" s="18"/>
      <c r="I172" s="18"/>
      <c r="J172" s="18"/>
      <c r="K172" s="18" t="s">
        <v>84</v>
      </c>
    </row>
    <row r="173" spans="1:11" ht="49.5" hidden="1" customHeight="1" x14ac:dyDescent="0.25">
      <c r="A173" s="9" t="s">
        <v>74</v>
      </c>
      <c r="B173" s="198" t="s">
        <v>75</v>
      </c>
      <c r="C173" s="199"/>
      <c r="D173" s="199"/>
      <c r="E173" s="200"/>
      <c r="F173" s="19"/>
      <c r="G173" s="18"/>
      <c r="H173" s="18"/>
      <c r="I173" s="18"/>
      <c r="J173" s="18"/>
      <c r="K173" s="18"/>
    </row>
    <row r="174" spans="1:11" hidden="1" x14ac:dyDescent="0.25">
      <c r="A174" s="18"/>
      <c r="B174" s="133"/>
      <c r="C174" s="126"/>
      <c r="D174" s="126"/>
      <c r="E174" s="127"/>
      <c r="F174" s="19">
        <v>2014</v>
      </c>
      <c r="G174" s="18">
        <f>H174+I174+J174</f>
        <v>2000</v>
      </c>
      <c r="H174" s="18">
        <v>1800</v>
      </c>
      <c r="I174" s="18">
        <v>200</v>
      </c>
      <c r="J174" s="18"/>
      <c r="K174" s="18" t="s">
        <v>84</v>
      </c>
    </row>
    <row r="175" spans="1:11" hidden="1" x14ac:dyDescent="0.25">
      <c r="A175" s="18"/>
      <c r="B175" s="133"/>
      <c r="C175" s="126"/>
      <c r="D175" s="126"/>
      <c r="E175" s="127"/>
      <c r="F175" s="19">
        <v>2015</v>
      </c>
      <c r="G175" s="18">
        <f t="shared" ref="G175:G182" si="8">H175+I175+J175</f>
        <v>0</v>
      </c>
      <c r="H175" s="18">
        <v>0</v>
      </c>
      <c r="I175" s="18">
        <v>0</v>
      </c>
      <c r="J175" s="18"/>
      <c r="K175" s="18" t="s">
        <v>84</v>
      </c>
    </row>
    <row r="176" spans="1:11" ht="38.25" hidden="1" customHeight="1" x14ac:dyDescent="0.25">
      <c r="A176" s="18"/>
      <c r="B176" s="123" t="s">
        <v>76</v>
      </c>
      <c r="C176" s="126"/>
      <c r="D176" s="126"/>
      <c r="E176" s="127"/>
      <c r="F176" s="19">
        <v>2016</v>
      </c>
      <c r="G176" s="18">
        <f t="shared" si="8"/>
        <v>887.25971000000004</v>
      </c>
      <c r="H176" s="18">
        <v>0</v>
      </c>
      <c r="I176" s="18">
        <f>200+687.25971</f>
        <v>887.25971000000004</v>
      </c>
      <c r="J176" s="18"/>
      <c r="K176" s="18" t="s">
        <v>84</v>
      </c>
    </row>
    <row r="177" spans="1:11" ht="35.25" hidden="1" customHeight="1" x14ac:dyDescent="0.25">
      <c r="A177" s="18"/>
      <c r="B177" s="123" t="s">
        <v>77</v>
      </c>
      <c r="C177" s="126"/>
      <c r="D177" s="126"/>
      <c r="E177" s="127"/>
      <c r="F177" s="19">
        <v>2017</v>
      </c>
      <c r="G177" s="18">
        <f t="shared" si="8"/>
        <v>500</v>
      </c>
      <c r="H177" s="18">
        <v>0</v>
      </c>
      <c r="I177" s="18">
        <f>200+300</f>
        <v>500</v>
      </c>
      <c r="J177" s="18"/>
      <c r="K177" s="18" t="s">
        <v>84</v>
      </c>
    </row>
    <row r="178" spans="1:11" hidden="1" x14ac:dyDescent="0.25">
      <c r="A178" s="18"/>
      <c r="B178" s="133"/>
      <c r="C178" s="126"/>
      <c r="D178" s="126"/>
      <c r="E178" s="127"/>
      <c r="F178" s="19">
        <v>2018</v>
      </c>
      <c r="G178" s="18">
        <f t="shared" si="8"/>
        <v>0</v>
      </c>
      <c r="H178" s="18">
        <v>0</v>
      </c>
      <c r="I178" s="18">
        <v>0</v>
      </c>
      <c r="J178" s="18">
        <v>0</v>
      </c>
      <c r="K178" s="18" t="s">
        <v>84</v>
      </c>
    </row>
    <row r="179" spans="1:11" ht="126" hidden="1" customHeight="1" x14ac:dyDescent="0.25">
      <c r="A179" s="18"/>
      <c r="B179" s="123" t="s">
        <v>78</v>
      </c>
      <c r="C179" s="126"/>
      <c r="D179" s="126"/>
      <c r="E179" s="127"/>
      <c r="F179" s="19">
        <v>2019</v>
      </c>
      <c r="G179" s="18">
        <f t="shared" si="8"/>
        <v>16446.131669999999</v>
      </c>
      <c r="H179" s="18">
        <v>0</v>
      </c>
      <c r="I179" s="18">
        <f>2684.09681+282.03486+180+100+5400+800+6300+200+300+200</f>
        <v>16446.131669999999</v>
      </c>
      <c r="J179" s="18"/>
      <c r="K179" s="18" t="s">
        <v>84</v>
      </c>
    </row>
    <row r="180" spans="1:11" hidden="1" x14ac:dyDescent="0.25">
      <c r="A180" s="18"/>
      <c r="B180" s="133"/>
      <c r="C180" s="126"/>
      <c r="D180" s="126"/>
      <c r="E180" s="127"/>
      <c r="F180" s="19">
        <v>2020</v>
      </c>
      <c r="G180" s="18">
        <f t="shared" si="8"/>
        <v>0</v>
      </c>
      <c r="H180" s="18">
        <v>0</v>
      </c>
      <c r="I180" s="18">
        <v>0</v>
      </c>
      <c r="J180" s="18"/>
      <c r="K180" s="18" t="s">
        <v>84</v>
      </c>
    </row>
    <row r="181" spans="1:11" hidden="1" x14ac:dyDescent="0.25">
      <c r="A181" s="18"/>
      <c r="B181" s="133"/>
      <c r="C181" s="126"/>
      <c r="D181" s="126"/>
      <c r="E181" s="127"/>
      <c r="F181" s="19">
        <v>2021</v>
      </c>
      <c r="G181" s="18">
        <f t="shared" si="8"/>
        <v>0</v>
      </c>
      <c r="H181" s="18">
        <v>0</v>
      </c>
      <c r="I181" s="18">
        <v>0</v>
      </c>
      <c r="J181" s="18"/>
      <c r="K181" s="18" t="s">
        <v>84</v>
      </c>
    </row>
    <row r="182" spans="1:11" hidden="1" x14ac:dyDescent="0.25">
      <c r="A182" s="18"/>
      <c r="B182" s="133"/>
      <c r="C182" s="126"/>
      <c r="D182" s="126"/>
      <c r="E182" s="127"/>
      <c r="F182" s="19">
        <v>2022</v>
      </c>
      <c r="G182" s="18">
        <f t="shared" si="8"/>
        <v>0</v>
      </c>
      <c r="H182" s="18">
        <v>0</v>
      </c>
      <c r="I182" s="18">
        <v>0</v>
      </c>
      <c r="J182" s="18"/>
      <c r="K182" s="18" t="s">
        <v>84</v>
      </c>
    </row>
    <row r="183" spans="1:11" hidden="1" x14ac:dyDescent="0.25">
      <c r="A183" s="18"/>
      <c r="B183" s="40"/>
      <c r="C183" s="41"/>
      <c r="D183" s="41"/>
      <c r="E183" s="42"/>
      <c r="F183" s="19">
        <v>2023</v>
      </c>
      <c r="G183" s="18"/>
      <c r="H183" s="18"/>
      <c r="I183" s="18"/>
      <c r="J183" s="18"/>
      <c r="K183" s="18" t="s">
        <v>84</v>
      </c>
    </row>
    <row r="184" spans="1:11" hidden="1" x14ac:dyDescent="0.25">
      <c r="A184" s="18"/>
      <c r="B184" s="40"/>
      <c r="C184" s="41"/>
      <c r="D184" s="41"/>
      <c r="E184" s="42"/>
      <c r="F184" s="19">
        <v>2024</v>
      </c>
      <c r="G184" s="18"/>
      <c r="H184" s="18"/>
      <c r="I184" s="18"/>
      <c r="J184" s="18"/>
      <c r="K184" s="18" t="s">
        <v>84</v>
      </c>
    </row>
    <row r="185" spans="1:11" hidden="1" x14ac:dyDescent="0.25">
      <c r="A185" s="18"/>
      <c r="B185" s="40"/>
      <c r="C185" s="41"/>
      <c r="D185" s="41"/>
      <c r="E185" s="42"/>
      <c r="F185" s="19">
        <v>2025</v>
      </c>
      <c r="G185" s="18"/>
      <c r="H185" s="18"/>
      <c r="I185" s="18"/>
      <c r="J185" s="18"/>
      <c r="K185" s="18" t="s">
        <v>84</v>
      </c>
    </row>
    <row r="186" spans="1:11" ht="59.25" hidden="1" customHeight="1" x14ac:dyDescent="0.25">
      <c r="A186" s="8" t="s">
        <v>79</v>
      </c>
      <c r="B186" s="120" t="s">
        <v>80</v>
      </c>
      <c r="C186" s="121"/>
      <c r="D186" s="121"/>
      <c r="E186" s="122"/>
      <c r="F186" s="19"/>
      <c r="G186" s="18"/>
      <c r="H186" s="18"/>
      <c r="I186" s="18"/>
      <c r="J186" s="18"/>
      <c r="K186" s="18"/>
    </row>
    <row r="187" spans="1:11" hidden="1" x14ac:dyDescent="0.25">
      <c r="A187" s="18"/>
      <c r="B187" s="133"/>
      <c r="C187" s="126"/>
      <c r="D187" s="126"/>
      <c r="E187" s="127"/>
      <c r="F187" s="19">
        <v>2014</v>
      </c>
      <c r="G187" s="18">
        <f>H187+I187+J187</f>
        <v>0</v>
      </c>
      <c r="H187" s="18"/>
      <c r="I187" s="18"/>
      <c r="J187" s="18"/>
      <c r="K187" s="18" t="s">
        <v>84</v>
      </c>
    </row>
    <row r="188" spans="1:11" hidden="1" x14ac:dyDescent="0.25">
      <c r="A188" s="18"/>
      <c r="B188" s="133"/>
      <c r="C188" s="126"/>
      <c r="D188" s="126"/>
      <c r="E188" s="127"/>
      <c r="F188" s="19">
        <v>2015</v>
      </c>
      <c r="G188" s="18">
        <f t="shared" ref="G188:G195" si="9">H188+I188+J188</f>
        <v>0</v>
      </c>
      <c r="H188" s="18"/>
      <c r="I188" s="18"/>
      <c r="J188" s="18"/>
      <c r="K188" s="18" t="s">
        <v>84</v>
      </c>
    </row>
    <row r="189" spans="1:11" hidden="1" x14ac:dyDescent="0.25">
      <c r="A189" s="18"/>
      <c r="B189" s="133"/>
      <c r="C189" s="126"/>
      <c r="D189" s="126"/>
      <c r="E189" s="127"/>
      <c r="F189" s="19">
        <v>2016</v>
      </c>
      <c r="G189" s="18">
        <f t="shared" si="9"/>
        <v>0</v>
      </c>
      <c r="H189" s="18"/>
      <c r="I189" s="18"/>
      <c r="J189" s="18"/>
      <c r="K189" s="18" t="s">
        <v>84</v>
      </c>
    </row>
    <row r="190" spans="1:11" hidden="1" x14ac:dyDescent="0.25">
      <c r="A190" s="18"/>
      <c r="B190" s="133"/>
      <c r="C190" s="126"/>
      <c r="D190" s="126"/>
      <c r="E190" s="127"/>
      <c r="F190" s="19">
        <v>2017</v>
      </c>
      <c r="G190" s="18">
        <f t="shared" si="9"/>
        <v>0</v>
      </c>
      <c r="H190" s="18"/>
      <c r="I190" s="18"/>
      <c r="J190" s="18"/>
      <c r="K190" s="18" t="s">
        <v>84</v>
      </c>
    </row>
    <row r="191" spans="1:11" hidden="1" x14ac:dyDescent="0.25">
      <c r="A191" s="18"/>
      <c r="B191" s="133"/>
      <c r="C191" s="126"/>
      <c r="D191" s="126"/>
      <c r="E191" s="127"/>
      <c r="F191" s="19">
        <v>2018</v>
      </c>
      <c r="G191" s="18">
        <f t="shared" si="9"/>
        <v>0</v>
      </c>
      <c r="H191" s="18"/>
      <c r="I191" s="18"/>
      <c r="J191" s="18"/>
      <c r="K191" s="18" t="s">
        <v>84</v>
      </c>
    </row>
    <row r="192" spans="1:11" hidden="1" x14ac:dyDescent="0.25">
      <c r="A192" s="18"/>
      <c r="B192" s="133"/>
      <c r="C192" s="126"/>
      <c r="D192" s="126"/>
      <c r="E192" s="127"/>
      <c r="F192" s="19">
        <v>2019</v>
      </c>
      <c r="G192" s="18">
        <f t="shared" si="9"/>
        <v>0</v>
      </c>
      <c r="H192" s="18"/>
      <c r="I192" s="18"/>
      <c r="J192" s="18"/>
      <c r="K192" s="18" t="s">
        <v>84</v>
      </c>
    </row>
    <row r="193" spans="1:11" hidden="1" x14ac:dyDescent="0.25">
      <c r="A193" s="18"/>
      <c r="B193" s="133"/>
      <c r="C193" s="126"/>
      <c r="D193" s="126"/>
      <c r="E193" s="127"/>
      <c r="F193" s="19">
        <v>2020</v>
      </c>
      <c r="G193" s="18">
        <f t="shared" si="9"/>
        <v>0</v>
      </c>
      <c r="H193" s="18"/>
      <c r="I193" s="18"/>
      <c r="J193" s="18"/>
      <c r="K193" s="18" t="s">
        <v>84</v>
      </c>
    </row>
    <row r="194" spans="1:11" hidden="1" x14ac:dyDescent="0.25">
      <c r="A194" s="18"/>
      <c r="B194" s="133"/>
      <c r="C194" s="126"/>
      <c r="D194" s="126"/>
      <c r="E194" s="127"/>
      <c r="F194" s="19">
        <v>2021</v>
      </c>
      <c r="G194" s="18">
        <f t="shared" si="9"/>
        <v>0</v>
      </c>
      <c r="H194" s="18"/>
      <c r="I194" s="18"/>
      <c r="J194" s="18"/>
      <c r="K194" s="18" t="s">
        <v>84</v>
      </c>
    </row>
    <row r="195" spans="1:11" hidden="1" x14ac:dyDescent="0.25">
      <c r="A195" s="2"/>
      <c r="B195" s="175"/>
      <c r="C195" s="176"/>
      <c r="D195" s="176"/>
      <c r="E195" s="177"/>
      <c r="F195" s="19">
        <v>2022</v>
      </c>
      <c r="G195" s="18">
        <f t="shared" si="9"/>
        <v>0</v>
      </c>
      <c r="H195" s="2"/>
      <c r="I195" s="2"/>
      <c r="J195" s="2"/>
      <c r="K195" s="18" t="s">
        <v>84</v>
      </c>
    </row>
    <row r="196" spans="1:11" hidden="1" x14ac:dyDescent="0.25">
      <c r="A196" s="2"/>
      <c r="B196" s="44"/>
      <c r="C196" s="45"/>
      <c r="D196" s="45"/>
      <c r="E196" s="46"/>
      <c r="F196" s="19">
        <v>2023</v>
      </c>
      <c r="G196" s="18"/>
      <c r="H196" s="2"/>
      <c r="I196" s="2"/>
      <c r="J196" s="2"/>
      <c r="K196" s="18" t="s">
        <v>84</v>
      </c>
    </row>
    <row r="197" spans="1:11" hidden="1" x14ac:dyDescent="0.25">
      <c r="A197" s="2"/>
      <c r="B197" s="44"/>
      <c r="C197" s="45"/>
      <c r="D197" s="45"/>
      <c r="E197" s="46"/>
      <c r="F197" s="19">
        <v>2024</v>
      </c>
      <c r="G197" s="18"/>
      <c r="H197" s="2"/>
      <c r="I197" s="2"/>
      <c r="J197" s="2"/>
      <c r="K197" s="18" t="s">
        <v>84</v>
      </c>
    </row>
    <row r="198" spans="1:11" hidden="1" x14ac:dyDescent="0.25">
      <c r="A198" s="2"/>
      <c r="B198" s="44"/>
      <c r="C198" s="45"/>
      <c r="D198" s="45"/>
      <c r="E198" s="46"/>
      <c r="F198" s="19">
        <v>2025</v>
      </c>
      <c r="G198" s="18"/>
      <c r="H198" s="2"/>
      <c r="I198" s="2"/>
      <c r="J198" s="2"/>
      <c r="K198" s="18" t="s">
        <v>84</v>
      </c>
    </row>
    <row r="199" spans="1:11" ht="31.5" hidden="1" customHeight="1" x14ac:dyDescent="0.25">
      <c r="A199" s="8" t="s">
        <v>81</v>
      </c>
      <c r="B199" s="120" t="s">
        <v>82</v>
      </c>
      <c r="C199" s="121"/>
      <c r="D199" s="121"/>
      <c r="E199" s="122"/>
      <c r="F199" s="49"/>
      <c r="G199" s="2"/>
      <c r="H199" s="2"/>
      <c r="I199" s="2"/>
      <c r="J199" s="2"/>
      <c r="K199" s="18"/>
    </row>
    <row r="200" spans="1:11" s="14" customFormat="1" ht="11.25" hidden="1" x14ac:dyDescent="0.2">
      <c r="A200" s="18"/>
      <c r="B200" s="133"/>
      <c r="C200" s="126"/>
      <c r="D200" s="126"/>
      <c r="E200" s="127"/>
      <c r="F200" s="19">
        <v>2014</v>
      </c>
      <c r="G200" s="18">
        <f>H200+I200+J200</f>
        <v>0</v>
      </c>
      <c r="H200" s="18"/>
      <c r="I200" s="18"/>
      <c r="J200" s="18"/>
      <c r="K200" s="18" t="s">
        <v>84</v>
      </c>
    </row>
    <row r="201" spans="1:11" s="14" customFormat="1" ht="11.25" hidden="1" x14ac:dyDescent="0.2">
      <c r="A201" s="18"/>
      <c r="B201" s="133"/>
      <c r="C201" s="126"/>
      <c r="D201" s="126"/>
      <c r="E201" s="127"/>
      <c r="F201" s="19">
        <v>2015</v>
      </c>
      <c r="G201" s="18">
        <f t="shared" ref="G201:G208" si="10">H201+I201+J201</f>
        <v>0</v>
      </c>
      <c r="H201" s="18"/>
      <c r="I201" s="18"/>
      <c r="J201" s="18"/>
      <c r="K201" s="18" t="s">
        <v>84</v>
      </c>
    </row>
    <row r="202" spans="1:11" s="14" customFormat="1" ht="11.25" hidden="1" x14ac:dyDescent="0.2">
      <c r="A202" s="18"/>
      <c r="B202" s="133"/>
      <c r="C202" s="126"/>
      <c r="D202" s="126"/>
      <c r="E202" s="127"/>
      <c r="F202" s="19">
        <v>2016</v>
      </c>
      <c r="G202" s="18">
        <f t="shared" si="10"/>
        <v>294.40902999999997</v>
      </c>
      <c r="H202" s="18"/>
      <c r="I202" s="18">
        <v>294.40902999999997</v>
      </c>
      <c r="J202" s="18"/>
      <c r="K202" s="18" t="s">
        <v>84</v>
      </c>
    </row>
    <row r="203" spans="1:11" s="14" customFormat="1" ht="11.25" hidden="1" x14ac:dyDescent="0.2">
      <c r="A203" s="18"/>
      <c r="B203" s="133"/>
      <c r="C203" s="126"/>
      <c r="D203" s="126"/>
      <c r="E203" s="127"/>
      <c r="F203" s="19">
        <v>2017</v>
      </c>
      <c r="G203" s="18">
        <f t="shared" si="10"/>
        <v>305.34219999999999</v>
      </c>
      <c r="H203" s="18"/>
      <c r="I203" s="18">
        <v>305.34219999999999</v>
      </c>
      <c r="J203" s="18"/>
      <c r="K203" s="18" t="s">
        <v>84</v>
      </c>
    </row>
    <row r="204" spans="1:11" s="14" customFormat="1" ht="11.25" hidden="1" x14ac:dyDescent="0.2">
      <c r="A204" s="18"/>
      <c r="B204" s="133"/>
      <c r="C204" s="126"/>
      <c r="D204" s="126"/>
      <c r="E204" s="127"/>
      <c r="F204" s="19">
        <v>2018</v>
      </c>
      <c r="G204" s="18">
        <f t="shared" si="10"/>
        <v>172.28380000000001</v>
      </c>
      <c r="H204" s="18"/>
      <c r="I204" s="18">
        <v>172.28380000000001</v>
      </c>
      <c r="J204" s="18"/>
      <c r="K204" s="18" t="s">
        <v>84</v>
      </c>
    </row>
    <row r="205" spans="1:11" s="14" customFormat="1" ht="11.25" hidden="1" x14ac:dyDescent="0.2">
      <c r="A205" s="18"/>
      <c r="B205" s="133"/>
      <c r="C205" s="126"/>
      <c r="D205" s="126"/>
      <c r="E205" s="127"/>
      <c r="F205" s="19">
        <v>2019</v>
      </c>
      <c r="G205" s="18">
        <f t="shared" si="10"/>
        <v>202.43759</v>
      </c>
      <c r="H205" s="18"/>
      <c r="I205" s="18">
        <v>202.43759</v>
      </c>
      <c r="J205" s="18"/>
      <c r="K205" s="18" t="s">
        <v>84</v>
      </c>
    </row>
    <row r="206" spans="1:11" s="14" customFormat="1" ht="11.25" hidden="1" x14ac:dyDescent="0.2">
      <c r="A206" s="18"/>
      <c r="B206" s="133"/>
      <c r="C206" s="126"/>
      <c r="D206" s="126"/>
      <c r="E206" s="127"/>
      <c r="F206" s="19">
        <v>2020</v>
      </c>
      <c r="G206" s="18">
        <f t="shared" si="10"/>
        <v>182.89169999999999</v>
      </c>
      <c r="H206" s="18"/>
      <c r="I206" s="18">
        <v>182.89169999999999</v>
      </c>
      <c r="J206" s="18"/>
      <c r="K206" s="18" t="s">
        <v>84</v>
      </c>
    </row>
    <row r="207" spans="1:11" s="14" customFormat="1" ht="11.25" hidden="1" x14ac:dyDescent="0.2">
      <c r="A207" s="18"/>
      <c r="B207" s="133"/>
      <c r="C207" s="126"/>
      <c r="D207" s="126"/>
      <c r="E207" s="127"/>
      <c r="F207" s="19">
        <v>2021</v>
      </c>
      <c r="G207" s="18">
        <f t="shared" si="10"/>
        <v>0</v>
      </c>
      <c r="H207" s="18"/>
      <c r="I207" s="18">
        <v>0</v>
      </c>
      <c r="J207" s="18"/>
      <c r="K207" s="18" t="s">
        <v>84</v>
      </c>
    </row>
    <row r="208" spans="1:11" s="14" customFormat="1" ht="11.25" hidden="1" x14ac:dyDescent="0.2">
      <c r="A208" s="18"/>
      <c r="B208" s="133"/>
      <c r="C208" s="126"/>
      <c r="D208" s="126"/>
      <c r="E208" s="127"/>
      <c r="F208" s="19">
        <v>2022</v>
      </c>
      <c r="G208" s="18">
        <f t="shared" si="10"/>
        <v>0</v>
      </c>
      <c r="H208" s="18"/>
      <c r="I208" s="18">
        <v>0</v>
      </c>
      <c r="J208" s="18"/>
      <c r="K208" s="18" t="s">
        <v>84</v>
      </c>
    </row>
    <row r="209" spans="1:11" s="14" customFormat="1" ht="11.25" hidden="1" x14ac:dyDescent="0.2">
      <c r="A209" s="18"/>
      <c r="B209" s="40"/>
      <c r="C209" s="41"/>
      <c r="D209" s="41"/>
      <c r="E209" s="42"/>
      <c r="F209" s="19">
        <v>2023</v>
      </c>
      <c r="G209" s="18"/>
      <c r="H209" s="18"/>
      <c r="I209" s="18"/>
      <c r="J209" s="18"/>
      <c r="K209" s="18" t="s">
        <v>84</v>
      </c>
    </row>
    <row r="210" spans="1:11" s="14" customFormat="1" ht="11.25" hidden="1" x14ac:dyDescent="0.2">
      <c r="A210" s="18"/>
      <c r="B210" s="40"/>
      <c r="C210" s="41"/>
      <c r="D210" s="41"/>
      <c r="E210" s="42"/>
      <c r="F210" s="19">
        <v>2024</v>
      </c>
      <c r="G210" s="18"/>
      <c r="H210" s="18"/>
      <c r="I210" s="18"/>
      <c r="J210" s="18"/>
      <c r="K210" s="18" t="s">
        <v>84</v>
      </c>
    </row>
    <row r="211" spans="1:11" s="14" customFormat="1" ht="11.25" hidden="1" x14ac:dyDescent="0.2">
      <c r="A211" s="18"/>
      <c r="B211" s="133"/>
      <c r="C211" s="126"/>
      <c r="D211" s="126"/>
      <c r="E211" s="127"/>
      <c r="F211" s="19">
        <v>2025</v>
      </c>
      <c r="G211" s="18"/>
      <c r="H211" s="18"/>
      <c r="I211" s="18"/>
      <c r="J211" s="18"/>
      <c r="K211" s="18" t="s">
        <v>84</v>
      </c>
    </row>
    <row r="212" spans="1:11" s="14" customFormat="1" ht="11.25" hidden="1" x14ac:dyDescent="0.2">
      <c r="A212" s="18"/>
      <c r="B212" s="184" t="s">
        <v>83</v>
      </c>
      <c r="C212" s="184"/>
      <c r="D212" s="184"/>
      <c r="E212" s="184"/>
      <c r="F212" s="39">
        <v>2014</v>
      </c>
      <c r="G212" s="8">
        <f>G123+G135+G148+G161+G174+G200</f>
        <v>6034.55</v>
      </c>
      <c r="H212" s="8">
        <f>H123+H135+H148+H161+H174+H187</f>
        <v>5431.0950000000003</v>
      </c>
      <c r="I212" s="8">
        <f>I123+I148+I135+I161+I174+I187+I200</f>
        <v>603.45499999999993</v>
      </c>
      <c r="J212" s="8"/>
      <c r="K212" s="18" t="s">
        <v>84</v>
      </c>
    </row>
    <row r="213" spans="1:11" s="14" customFormat="1" ht="11.25" hidden="1" x14ac:dyDescent="0.2">
      <c r="A213" s="18"/>
      <c r="B213" s="186"/>
      <c r="C213" s="186"/>
      <c r="D213" s="186"/>
      <c r="E213" s="186"/>
      <c r="F213" s="39">
        <v>2015</v>
      </c>
      <c r="G213" s="8">
        <f>G124+G136+G149+G162+G175</f>
        <v>1720.71902</v>
      </c>
      <c r="H213" s="8">
        <f>'Комплексное благоустройство'!H93</f>
        <v>0</v>
      </c>
      <c r="I213" s="8">
        <f>'Комплексное благоустройство'!I93</f>
        <v>1720719.02</v>
      </c>
      <c r="J213" s="8"/>
      <c r="K213" s="18" t="s">
        <v>84</v>
      </c>
    </row>
    <row r="214" spans="1:11" s="14" customFormat="1" ht="11.25" hidden="1" x14ac:dyDescent="0.2">
      <c r="A214" s="18"/>
      <c r="B214" s="186"/>
      <c r="C214" s="186"/>
      <c r="D214" s="186"/>
      <c r="E214" s="186"/>
      <c r="F214" s="39">
        <v>2016</v>
      </c>
      <c r="G214" s="8">
        <f>G125+G150+G163+G176+G189+G202</f>
        <v>31656.600459999998</v>
      </c>
      <c r="H214" s="8">
        <f>'Комплексное благоустройство'!H94</f>
        <v>0</v>
      </c>
      <c r="I214" s="8">
        <f>'Комплексное благоустройство'!I94</f>
        <v>31656600.460000001</v>
      </c>
      <c r="J214" s="8"/>
      <c r="K214" s="18" t="s">
        <v>84</v>
      </c>
    </row>
    <row r="215" spans="1:11" s="14" customFormat="1" ht="11.25" hidden="1" x14ac:dyDescent="0.2">
      <c r="A215" s="18"/>
      <c r="B215" s="186"/>
      <c r="C215" s="186"/>
      <c r="D215" s="186"/>
      <c r="E215" s="186"/>
      <c r="F215" s="39">
        <v>2017</v>
      </c>
      <c r="G215" s="8">
        <f>G126+G138+G151+G164+G190+G177+G203</f>
        <v>11643.072199999999</v>
      </c>
      <c r="H215" s="8">
        <f>'Комплексное благоустройство'!H95</f>
        <v>0</v>
      </c>
      <c r="I215" s="8">
        <f>'Комплексное благоустройство'!I95</f>
        <v>11643072.199999999</v>
      </c>
      <c r="J215" s="8"/>
      <c r="K215" s="18" t="s">
        <v>84</v>
      </c>
    </row>
    <row r="216" spans="1:11" s="14" customFormat="1" ht="11.25" hidden="1" x14ac:dyDescent="0.2">
      <c r="A216" s="18"/>
      <c r="B216" s="186"/>
      <c r="C216" s="186"/>
      <c r="D216" s="186"/>
      <c r="E216" s="186"/>
      <c r="F216" s="39">
        <v>2018</v>
      </c>
      <c r="G216" s="8">
        <f>G127+G139+G152+G165+G178+G191+G204</f>
        <v>20931.5838</v>
      </c>
      <c r="H216" s="8">
        <f>'Комплексное благоустройство'!H96</f>
        <v>0</v>
      </c>
      <c r="I216" s="8">
        <f>'Комплексное благоустройство'!I96</f>
        <v>20931583.800000001</v>
      </c>
      <c r="J216" s="8"/>
      <c r="K216" s="18" t="s">
        <v>84</v>
      </c>
    </row>
    <row r="217" spans="1:11" s="14" customFormat="1" ht="11.25" hidden="1" x14ac:dyDescent="0.2">
      <c r="A217" s="18"/>
      <c r="B217" s="186"/>
      <c r="C217" s="186"/>
      <c r="D217" s="186"/>
      <c r="E217" s="186"/>
      <c r="F217" s="39">
        <v>2019</v>
      </c>
      <c r="G217" s="8">
        <f>G128+G140+G153+G166+G179+G192+G205</f>
        <v>42878.450409999998</v>
      </c>
      <c r="H217" s="8">
        <f>'Комплексное благоустройство'!H97</f>
        <v>0</v>
      </c>
      <c r="I217" s="8">
        <f>'Комплексное благоустройство'!I97</f>
        <v>45323062.340000004</v>
      </c>
      <c r="J217" s="8"/>
      <c r="K217" s="18" t="s">
        <v>84</v>
      </c>
    </row>
    <row r="218" spans="1:11" s="14" customFormat="1" ht="11.25" hidden="1" x14ac:dyDescent="0.2">
      <c r="A218" s="18"/>
      <c r="B218" s="186"/>
      <c r="C218" s="186"/>
      <c r="D218" s="186"/>
      <c r="E218" s="186"/>
      <c r="F218" s="39">
        <v>2020</v>
      </c>
      <c r="G218" s="8">
        <f>G129+G141+G154+G167+G180+G193+G206</f>
        <v>682.89170000000001</v>
      </c>
      <c r="H218" s="8">
        <f>'Комплексное благоустройство'!H98</f>
        <v>0</v>
      </c>
      <c r="I218" s="8">
        <f>'Комплексное благоустройство'!I98</f>
        <v>46095090.359999999</v>
      </c>
      <c r="J218" s="8"/>
      <c r="K218" s="18" t="s">
        <v>84</v>
      </c>
    </row>
    <row r="219" spans="1:11" s="14" customFormat="1" ht="11.25" hidden="1" x14ac:dyDescent="0.2">
      <c r="A219" s="18"/>
      <c r="B219" s="186"/>
      <c r="C219" s="186"/>
      <c r="D219" s="186"/>
      <c r="E219" s="186"/>
      <c r="F219" s="39">
        <v>2021</v>
      </c>
      <c r="G219" s="8">
        <f>-G130+G142+G155+G168+G181+G194+G207</f>
        <v>0</v>
      </c>
      <c r="H219" s="8">
        <f>'Комплексное благоустройство'!H99</f>
        <v>0</v>
      </c>
      <c r="I219" s="8">
        <f>'Комплексное благоустройство'!I99</f>
        <v>18552785.710000001</v>
      </c>
      <c r="J219" s="8"/>
      <c r="K219" s="18" t="s">
        <v>84</v>
      </c>
    </row>
    <row r="220" spans="1:11" s="14" customFormat="1" ht="11.25" hidden="1" x14ac:dyDescent="0.2">
      <c r="A220" s="18"/>
      <c r="B220" s="186"/>
      <c r="C220" s="186"/>
      <c r="D220" s="186"/>
      <c r="E220" s="186"/>
      <c r="F220" s="39">
        <v>2022</v>
      </c>
      <c r="G220" s="8">
        <f>G131+G143+G156+G182+G195+G208</f>
        <v>0</v>
      </c>
      <c r="H220" s="8">
        <f>'Комплексное благоустройство'!H100</f>
        <v>0</v>
      </c>
      <c r="I220" s="8">
        <f>'Комплексное благоустройство'!I100</f>
        <v>3247470.33</v>
      </c>
      <c r="J220" s="8"/>
      <c r="K220" s="18" t="s">
        <v>84</v>
      </c>
    </row>
    <row r="221" spans="1:11" s="14" customFormat="1" ht="11.25" hidden="1" x14ac:dyDescent="0.2">
      <c r="A221" s="57"/>
      <c r="B221" s="186"/>
      <c r="C221" s="186"/>
      <c r="D221" s="186"/>
      <c r="E221" s="186"/>
      <c r="F221" s="39">
        <v>2023</v>
      </c>
      <c r="G221" s="8">
        <f>'Комплексное благоустройство'!G101</f>
        <v>4056810.54</v>
      </c>
      <c r="H221" s="8">
        <f>'Комплексное благоустройство'!H101</f>
        <v>0</v>
      </c>
      <c r="I221" s="8">
        <f>'Комплексное благоустройство'!I101</f>
        <v>4056810.54</v>
      </c>
      <c r="J221" s="8"/>
      <c r="K221" s="18" t="s">
        <v>84</v>
      </c>
    </row>
    <row r="222" spans="1:11" s="14" customFormat="1" ht="11.25" hidden="1" x14ac:dyDescent="0.2">
      <c r="A222" s="57"/>
      <c r="B222" s="186"/>
      <c r="C222" s="186"/>
      <c r="D222" s="186"/>
      <c r="E222" s="186"/>
      <c r="F222" s="39">
        <v>2024</v>
      </c>
      <c r="G222" s="8">
        <f>'Комплексное благоустройство'!G102</f>
        <v>0</v>
      </c>
      <c r="H222" s="8">
        <f>'Комплексное благоустройство'!H102</f>
        <v>0</v>
      </c>
      <c r="I222" s="8">
        <f>'Комплексное благоустройство'!I102</f>
        <v>0</v>
      </c>
      <c r="J222" s="8"/>
      <c r="K222" s="18" t="s">
        <v>84</v>
      </c>
    </row>
    <row r="223" spans="1:11" s="14" customFormat="1" ht="11.25" hidden="1" x14ac:dyDescent="0.2">
      <c r="A223" s="57"/>
      <c r="B223" s="188"/>
      <c r="C223" s="188"/>
      <c r="D223" s="188"/>
      <c r="E223" s="188"/>
      <c r="F223" s="39">
        <v>2025</v>
      </c>
      <c r="G223" s="8">
        <f>'Комплексное благоустройство'!G103</f>
        <v>0</v>
      </c>
      <c r="H223" s="8">
        <f>'Комплексное благоустройство'!H103</f>
        <v>0</v>
      </c>
      <c r="I223" s="8">
        <f>'Комплексное благоустройство'!I103</f>
        <v>0</v>
      </c>
      <c r="J223" s="8"/>
      <c r="K223" s="18" t="s">
        <v>84</v>
      </c>
    </row>
    <row r="224" spans="1:11" hidden="1" x14ac:dyDescent="0.25">
      <c r="A224" s="181" t="s">
        <v>85</v>
      </c>
      <c r="B224" s="182"/>
      <c r="C224" s="182"/>
      <c r="D224" s="182"/>
      <c r="E224" s="182"/>
      <c r="F224" s="182"/>
      <c r="G224" s="182"/>
      <c r="H224" s="182"/>
      <c r="I224" s="182"/>
      <c r="J224" s="182"/>
      <c r="K224" s="183"/>
    </row>
    <row r="225" spans="1:11" ht="34.5" hidden="1" customHeight="1" x14ac:dyDescent="0.25">
      <c r="A225" s="12" t="s">
        <v>86</v>
      </c>
      <c r="B225" s="198" t="s">
        <v>87</v>
      </c>
      <c r="C225" s="199"/>
      <c r="D225" s="199"/>
      <c r="E225" s="200"/>
      <c r="F225" s="49"/>
      <c r="G225" s="2"/>
      <c r="H225" s="2"/>
      <c r="I225" s="2"/>
      <c r="J225" s="2"/>
      <c r="K225" s="2"/>
    </row>
    <row r="226" spans="1:11" s="11" customFormat="1" ht="12.75" hidden="1" x14ac:dyDescent="0.2">
      <c r="A226" s="10"/>
      <c r="B226" s="133" t="s">
        <v>90</v>
      </c>
      <c r="C226" s="126"/>
      <c r="D226" s="126"/>
      <c r="E226" s="127"/>
      <c r="F226" s="48">
        <v>2014</v>
      </c>
      <c r="G226" s="10">
        <f>H226+I226+J226</f>
        <v>0</v>
      </c>
      <c r="H226" s="10"/>
      <c r="I226" s="10"/>
      <c r="J226" s="10"/>
      <c r="K226" s="18" t="s">
        <v>84</v>
      </c>
    </row>
    <row r="227" spans="1:11" s="11" customFormat="1" ht="12.75" hidden="1" x14ac:dyDescent="0.2">
      <c r="A227" s="10"/>
      <c r="B227" s="133" t="s">
        <v>91</v>
      </c>
      <c r="C227" s="126"/>
      <c r="D227" s="126"/>
      <c r="E227" s="127"/>
      <c r="F227" s="48">
        <v>2015</v>
      </c>
      <c r="G227" s="10">
        <f t="shared" ref="G227:G234" si="11">H227+I227+J227</f>
        <v>2100</v>
      </c>
      <c r="H227" s="10">
        <v>1600</v>
      </c>
      <c r="I227" s="10">
        <v>500</v>
      </c>
      <c r="J227" s="10"/>
      <c r="K227" s="18" t="s">
        <v>84</v>
      </c>
    </row>
    <row r="228" spans="1:11" s="11" customFormat="1" ht="194.25" hidden="1" customHeight="1" x14ac:dyDescent="0.2">
      <c r="A228" s="10"/>
      <c r="B228" s="123" t="s">
        <v>92</v>
      </c>
      <c r="C228" s="126"/>
      <c r="D228" s="126"/>
      <c r="E228" s="127"/>
      <c r="F228" s="48">
        <v>2016</v>
      </c>
      <c r="G228" s="10">
        <f t="shared" si="11"/>
        <v>32686.699509999999</v>
      </c>
      <c r="H228" s="10"/>
      <c r="I228" s="10">
        <f>1800+2200+165+2400+1600+1700+1205.26018+2500+2500+2100+2200+2500+2100+2100+100+2500+3016.43933</f>
        <v>32686.699509999999</v>
      </c>
      <c r="J228" s="10"/>
      <c r="K228" s="18" t="s">
        <v>84</v>
      </c>
    </row>
    <row r="229" spans="1:11" s="11" customFormat="1" ht="159.75" hidden="1" customHeight="1" x14ac:dyDescent="0.2">
      <c r="A229" s="10"/>
      <c r="B229" s="123" t="s">
        <v>93</v>
      </c>
      <c r="C229" s="126"/>
      <c r="D229" s="126"/>
      <c r="E229" s="127"/>
      <c r="F229" s="48">
        <v>2017</v>
      </c>
      <c r="G229" s="10">
        <f t="shared" si="11"/>
        <v>49800</v>
      </c>
      <c r="H229" s="10"/>
      <c r="I229" s="10">
        <f>3300+3300+3700+3300+5200+5200+5200+3700+5200+5200+5200+500+300+500</f>
        <v>49800</v>
      </c>
      <c r="J229" s="10"/>
      <c r="K229" s="18" t="s">
        <v>84</v>
      </c>
    </row>
    <row r="230" spans="1:11" s="11" customFormat="1" ht="288" hidden="1" customHeight="1" x14ac:dyDescent="0.2">
      <c r="A230" s="10"/>
      <c r="B230" s="123" t="s">
        <v>94</v>
      </c>
      <c r="C230" s="126"/>
      <c r="D230" s="126"/>
      <c r="E230" s="127"/>
      <c r="F230" s="48">
        <v>2018</v>
      </c>
      <c r="G230" s="10">
        <f t="shared" si="11"/>
        <v>93094.801170000006</v>
      </c>
      <c r="H230" s="10"/>
      <c r="I230" s="10">
        <f>1500+3000+3000+3000+3000+3300+3200+3500+3500+3500+2500+2500+3500+3500+3000+3000+3500+500+2492.36+6000+6000+8102.20143+10000.23974+8000</f>
        <v>93094.801170000006</v>
      </c>
      <c r="J230" s="10"/>
      <c r="K230" s="18" t="s">
        <v>84</v>
      </c>
    </row>
    <row r="231" spans="1:11" s="11" customFormat="1" ht="214.5" hidden="1" customHeight="1" x14ac:dyDescent="0.2">
      <c r="A231" s="10"/>
      <c r="B231" s="123" t="s">
        <v>95</v>
      </c>
      <c r="C231" s="126"/>
      <c r="D231" s="126"/>
      <c r="E231" s="127"/>
      <c r="F231" s="48">
        <v>2019</v>
      </c>
      <c r="G231" s="10">
        <f t="shared" si="11"/>
        <v>80645.790430000008</v>
      </c>
      <c r="H231" s="10"/>
      <c r="I231" s="10">
        <f>1876+7000+6723.66443+7000+6249.577+8032.669+7830.405+7957.024+8069.59+7000+8154.762+1200+800+328+300+1524.099+600</f>
        <v>80645.790430000008</v>
      </c>
      <c r="J231" s="10"/>
      <c r="K231" s="18" t="s">
        <v>84</v>
      </c>
    </row>
    <row r="232" spans="1:11" s="11" customFormat="1" ht="12.75" hidden="1" x14ac:dyDescent="0.2">
      <c r="A232" s="10"/>
      <c r="B232" s="133" t="s">
        <v>96</v>
      </c>
      <c r="C232" s="126"/>
      <c r="D232" s="126"/>
      <c r="E232" s="127"/>
      <c r="F232" s="48">
        <v>2020</v>
      </c>
      <c r="G232" s="10">
        <f t="shared" si="11"/>
        <v>57416</v>
      </c>
      <c r="H232" s="10"/>
      <c r="I232" s="10">
        <v>57416</v>
      </c>
      <c r="J232" s="10"/>
      <c r="K232" s="18" t="s">
        <v>84</v>
      </c>
    </row>
    <row r="233" spans="1:11" s="11" customFormat="1" ht="12.75" hidden="1" x14ac:dyDescent="0.2">
      <c r="A233" s="10"/>
      <c r="B233" s="133"/>
      <c r="C233" s="126"/>
      <c r="D233" s="126"/>
      <c r="E233" s="127"/>
      <c r="F233" s="48">
        <v>2021</v>
      </c>
      <c r="G233" s="10">
        <f t="shared" si="11"/>
        <v>0</v>
      </c>
      <c r="H233" s="10"/>
      <c r="I233" s="10"/>
      <c r="J233" s="10"/>
      <c r="K233" s="18" t="s">
        <v>84</v>
      </c>
    </row>
    <row r="234" spans="1:11" s="11" customFormat="1" ht="12.75" hidden="1" x14ac:dyDescent="0.2">
      <c r="A234" s="10"/>
      <c r="B234" s="133"/>
      <c r="C234" s="126"/>
      <c r="D234" s="126"/>
      <c r="E234" s="127"/>
      <c r="F234" s="48">
        <v>2022</v>
      </c>
      <c r="G234" s="10">
        <f t="shared" si="11"/>
        <v>0</v>
      </c>
      <c r="H234" s="10"/>
      <c r="I234" s="10"/>
      <c r="J234" s="10"/>
      <c r="K234" s="18" t="s">
        <v>84</v>
      </c>
    </row>
    <row r="235" spans="1:11" s="11" customFormat="1" ht="12.75" hidden="1" x14ac:dyDescent="0.2">
      <c r="A235" s="10"/>
      <c r="B235" s="54"/>
      <c r="C235" s="55"/>
      <c r="D235" s="55"/>
      <c r="E235" s="56"/>
      <c r="F235" s="48">
        <v>2023</v>
      </c>
      <c r="G235" s="10"/>
      <c r="H235" s="10"/>
      <c r="I235" s="10"/>
      <c r="J235" s="10"/>
      <c r="K235" s="18" t="s">
        <v>84</v>
      </c>
    </row>
    <row r="236" spans="1:11" s="11" customFormat="1" ht="12.75" hidden="1" x14ac:dyDescent="0.2">
      <c r="A236" s="10"/>
      <c r="B236" s="54"/>
      <c r="C236" s="55"/>
      <c r="D236" s="55"/>
      <c r="E236" s="56"/>
      <c r="F236" s="48">
        <v>2024</v>
      </c>
      <c r="G236" s="10"/>
      <c r="H236" s="10"/>
      <c r="I236" s="10"/>
      <c r="J236" s="10"/>
      <c r="K236" s="18" t="s">
        <v>84</v>
      </c>
    </row>
    <row r="237" spans="1:11" s="11" customFormat="1" ht="12.75" hidden="1" x14ac:dyDescent="0.2">
      <c r="A237" s="10"/>
      <c r="B237" s="54"/>
      <c r="C237" s="55"/>
      <c r="D237" s="55"/>
      <c r="E237" s="56"/>
      <c r="F237" s="48">
        <v>2025</v>
      </c>
      <c r="G237" s="10"/>
      <c r="H237" s="10"/>
      <c r="I237" s="10"/>
      <c r="J237" s="10"/>
      <c r="K237" s="18" t="s">
        <v>84</v>
      </c>
    </row>
    <row r="238" spans="1:11" s="35" customFormat="1" ht="12.75" hidden="1" x14ac:dyDescent="0.2">
      <c r="A238" s="9"/>
      <c r="B238" s="213" t="s">
        <v>89</v>
      </c>
      <c r="C238" s="214"/>
      <c r="D238" s="214"/>
      <c r="E238" s="215"/>
      <c r="F238" s="50">
        <v>2014</v>
      </c>
      <c r="G238" s="9">
        <f t="shared" ref="G238:I246" si="12">G226</f>
        <v>0</v>
      </c>
      <c r="H238" s="9">
        <f t="shared" si="12"/>
        <v>0</v>
      </c>
      <c r="I238" s="9">
        <f t="shared" si="12"/>
        <v>0</v>
      </c>
      <c r="J238" s="9"/>
      <c r="K238" s="18" t="s">
        <v>84</v>
      </c>
    </row>
    <row r="239" spans="1:11" s="35" customFormat="1" ht="12.75" hidden="1" x14ac:dyDescent="0.2">
      <c r="A239" s="9"/>
      <c r="B239" s="216"/>
      <c r="C239" s="217"/>
      <c r="D239" s="217"/>
      <c r="E239" s="218"/>
      <c r="F239" s="50">
        <v>2015</v>
      </c>
      <c r="G239" s="9">
        <f t="shared" si="12"/>
        <v>2100</v>
      </c>
      <c r="H239" s="9">
        <f t="shared" si="12"/>
        <v>1600</v>
      </c>
      <c r="I239" s="9">
        <f t="shared" si="12"/>
        <v>500</v>
      </c>
      <c r="J239" s="9"/>
      <c r="K239" s="18" t="s">
        <v>84</v>
      </c>
    </row>
    <row r="240" spans="1:11" s="35" customFormat="1" ht="12.75" hidden="1" x14ac:dyDescent="0.2">
      <c r="A240" s="9"/>
      <c r="B240" s="216"/>
      <c r="C240" s="217"/>
      <c r="D240" s="217"/>
      <c r="E240" s="218"/>
      <c r="F240" s="50">
        <v>2016</v>
      </c>
      <c r="G240" s="9">
        <f t="shared" si="12"/>
        <v>32686.699509999999</v>
      </c>
      <c r="H240" s="9">
        <f t="shared" si="12"/>
        <v>0</v>
      </c>
      <c r="I240" s="9">
        <f t="shared" si="12"/>
        <v>32686.699509999999</v>
      </c>
      <c r="J240" s="9"/>
      <c r="K240" s="18" t="s">
        <v>84</v>
      </c>
    </row>
    <row r="241" spans="1:11" s="35" customFormat="1" ht="12.75" hidden="1" x14ac:dyDescent="0.2">
      <c r="A241" s="9"/>
      <c r="B241" s="216"/>
      <c r="C241" s="217"/>
      <c r="D241" s="217"/>
      <c r="E241" s="218"/>
      <c r="F241" s="50">
        <v>2017</v>
      </c>
      <c r="G241" s="9">
        <f t="shared" si="12"/>
        <v>49800</v>
      </c>
      <c r="H241" s="9">
        <f t="shared" si="12"/>
        <v>0</v>
      </c>
      <c r="I241" s="9">
        <f t="shared" si="12"/>
        <v>49800</v>
      </c>
      <c r="J241" s="9"/>
      <c r="K241" s="18" t="s">
        <v>84</v>
      </c>
    </row>
    <row r="242" spans="1:11" s="35" customFormat="1" ht="12.75" hidden="1" x14ac:dyDescent="0.2">
      <c r="A242" s="9"/>
      <c r="B242" s="216"/>
      <c r="C242" s="217"/>
      <c r="D242" s="217"/>
      <c r="E242" s="218"/>
      <c r="F242" s="50">
        <v>2018</v>
      </c>
      <c r="G242" s="9">
        <f t="shared" si="12"/>
        <v>93094.801170000006</v>
      </c>
      <c r="H242" s="9">
        <f t="shared" si="12"/>
        <v>0</v>
      </c>
      <c r="I242" s="9">
        <f t="shared" si="12"/>
        <v>93094.801170000006</v>
      </c>
      <c r="J242" s="9"/>
      <c r="K242" s="18" t="s">
        <v>84</v>
      </c>
    </row>
    <row r="243" spans="1:11" s="35" customFormat="1" ht="12.75" hidden="1" x14ac:dyDescent="0.2">
      <c r="A243" s="9"/>
      <c r="B243" s="216"/>
      <c r="C243" s="217"/>
      <c r="D243" s="217"/>
      <c r="E243" s="218"/>
      <c r="F243" s="50">
        <v>2019</v>
      </c>
      <c r="G243" s="9">
        <f t="shared" si="12"/>
        <v>80645.790430000008</v>
      </c>
      <c r="H243" s="9">
        <f t="shared" si="12"/>
        <v>0</v>
      </c>
      <c r="I243" s="9">
        <f t="shared" si="12"/>
        <v>80645.790430000008</v>
      </c>
      <c r="J243" s="9"/>
      <c r="K243" s="18" t="s">
        <v>84</v>
      </c>
    </row>
    <row r="244" spans="1:11" s="35" customFormat="1" ht="12.75" hidden="1" x14ac:dyDescent="0.2">
      <c r="A244" s="9"/>
      <c r="B244" s="216"/>
      <c r="C244" s="217"/>
      <c r="D244" s="217"/>
      <c r="E244" s="218"/>
      <c r="F244" s="50">
        <v>2020</v>
      </c>
      <c r="G244" s="9">
        <f t="shared" si="12"/>
        <v>57416</v>
      </c>
      <c r="H244" s="9">
        <f t="shared" si="12"/>
        <v>0</v>
      </c>
      <c r="I244" s="9">
        <f t="shared" si="12"/>
        <v>57416</v>
      </c>
      <c r="J244" s="9"/>
      <c r="K244" s="18" t="s">
        <v>84</v>
      </c>
    </row>
    <row r="245" spans="1:11" s="35" customFormat="1" ht="12.75" hidden="1" x14ac:dyDescent="0.2">
      <c r="A245" s="9"/>
      <c r="B245" s="216"/>
      <c r="C245" s="217"/>
      <c r="D245" s="217"/>
      <c r="E245" s="218"/>
      <c r="F245" s="50">
        <v>2021</v>
      </c>
      <c r="G245" s="9">
        <f t="shared" si="12"/>
        <v>0</v>
      </c>
      <c r="H245" s="9">
        <f t="shared" si="12"/>
        <v>0</v>
      </c>
      <c r="I245" s="9">
        <f t="shared" si="12"/>
        <v>0</v>
      </c>
      <c r="J245" s="9"/>
      <c r="K245" s="18" t="s">
        <v>84</v>
      </c>
    </row>
    <row r="246" spans="1:11" s="35" customFormat="1" ht="12.75" hidden="1" x14ac:dyDescent="0.2">
      <c r="A246" s="9"/>
      <c r="B246" s="216"/>
      <c r="C246" s="217"/>
      <c r="D246" s="217"/>
      <c r="E246" s="218"/>
      <c r="F246" s="50">
        <v>2022</v>
      </c>
      <c r="G246" s="9">
        <f t="shared" si="12"/>
        <v>0</v>
      </c>
      <c r="H246" s="9">
        <f t="shared" si="12"/>
        <v>0</v>
      </c>
      <c r="I246" s="9">
        <f t="shared" si="12"/>
        <v>0</v>
      </c>
      <c r="J246" s="9"/>
      <c r="K246" s="18" t="s">
        <v>84</v>
      </c>
    </row>
    <row r="247" spans="1:11" s="11" customFormat="1" ht="12.75" hidden="1" x14ac:dyDescent="0.2">
      <c r="A247" s="10"/>
      <c r="B247" s="216"/>
      <c r="C247" s="217"/>
      <c r="D247" s="217"/>
      <c r="E247" s="218"/>
      <c r="F247" s="50">
        <v>2023</v>
      </c>
      <c r="G247" s="9">
        <f>'Капитальный ремонт '!G24</f>
        <v>20077224.350000001</v>
      </c>
      <c r="H247" s="9">
        <f>'Капитальный ремонт '!H24</f>
        <v>0</v>
      </c>
      <c r="I247" s="9">
        <f>'Капитальный ремонт '!I24</f>
        <v>20077224.350000001</v>
      </c>
      <c r="J247" s="10"/>
      <c r="K247" s="18" t="s">
        <v>84</v>
      </c>
    </row>
    <row r="248" spans="1:11" s="11" customFormat="1" ht="12.75" hidden="1" x14ac:dyDescent="0.2">
      <c r="A248" s="10"/>
      <c r="B248" s="216"/>
      <c r="C248" s="217"/>
      <c r="D248" s="217"/>
      <c r="E248" s="218"/>
      <c r="F248" s="50">
        <v>2024</v>
      </c>
      <c r="G248" s="9">
        <f>'Капитальный ремонт '!G25</f>
        <v>0</v>
      </c>
      <c r="H248" s="9">
        <f>'Капитальный ремонт '!H25</f>
        <v>0</v>
      </c>
      <c r="I248" s="9">
        <f>'Капитальный ремонт '!I25</f>
        <v>0</v>
      </c>
      <c r="J248" s="10"/>
      <c r="K248" s="18" t="s">
        <v>84</v>
      </c>
    </row>
    <row r="249" spans="1:11" s="11" customFormat="1" ht="12.75" hidden="1" x14ac:dyDescent="0.2">
      <c r="A249" s="10"/>
      <c r="B249" s="219"/>
      <c r="C249" s="220"/>
      <c r="D249" s="220"/>
      <c r="E249" s="221"/>
      <c r="F249" s="50">
        <v>2025</v>
      </c>
      <c r="G249" s="9">
        <f>'Капитальный ремонт '!G26</f>
        <v>0</v>
      </c>
      <c r="H249" s="9">
        <f>'Капитальный ремонт '!H26</f>
        <v>0</v>
      </c>
      <c r="I249" s="9">
        <f>'Капитальный ремонт '!I26</f>
        <v>0</v>
      </c>
      <c r="J249" s="10"/>
      <c r="K249" s="18" t="s">
        <v>84</v>
      </c>
    </row>
    <row r="250" spans="1:11" s="11" customFormat="1" ht="12.75" hidden="1" x14ac:dyDescent="0.2">
      <c r="A250" s="10"/>
      <c r="B250" s="36"/>
      <c r="C250" s="36"/>
      <c r="D250" s="36"/>
      <c r="E250" s="36"/>
      <c r="F250" s="50"/>
      <c r="G250" s="9"/>
      <c r="H250" s="9"/>
      <c r="I250" s="9"/>
      <c r="J250" s="10"/>
      <c r="K250" s="10"/>
    </row>
    <row r="251" spans="1:11" s="11" customFormat="1" ht="12.75" x14ac:dyDescent="0.2">
      <c r="A251" s="10"/>
      <c r="B251" s="69"/>
      <c r="C251" s="70"/>
      <c r="D251" s="70"/>
      <c r="E251" s="71"/>
      <c r="F251" s="50"/>
      <c r="G251" s="9"/>
      <c r="H251" s="9"/>
      <c r="I251" s="9"/>
      <c r="J251" s="10"/>
      <c r="K251" s="10"/>
    </row>
    <row r="252" spans="1:11" s="6" customFormat="1" ht="14.25" x14ac:dyDescent="0.2">
      <c r="A252" s="5"/>
      <c r="B252" s="204" t="s">
        <v>88</v>
      </c>
      <c r="C252" s="205"/>
      <c r="D252" s="205"/>
      <c r="E252" s="206"/>
      <c r="F252" s="51">
        <v>2014</v>
      </c>
      <c r="G252" s="75">
        <f>'Энергосбережение и повышение'!G71+'Чистая вода '!G28+'Комплексное благоустройство'!G92+'Капитальный ремонт '!G15</f>
        <v>7593090</v>
      </c>
      <c r="H252" s="75">
        <f>'Энергосбережение и повышение'!H71+'Чистая вода '!H28+'Комплексное благоустройство'!H92+'Капитальный ремонт '!H15</f>
        <v>6958515</v>
      </c>
      <c r="I252" s="75">
        <f>'Энергосбережение и повышение'!I71+'Чистая вода '!I28+'Комплексное благоустройство'!I92+'Капитальный ремонт '!I15</f>
        <v>634575</v>
      </c>
      <c r="J252" s="5"/>
      <c r="K252" s="5"/>
    </row>
    <row r="253" spans="1:11" s="6" customFormat="1" ht="14.25" x14ac:dyDescent="0.2">
      <c r="A253" s="5"/>
      <c r="B253" s="207"/>
      <c r="C253" s="208"/>
      <c r="D253" s="208"/>
      <c r="E253" s="209"/>
      <c r="F253" s="51">
        <v>2015</v>
      </c>
      <c r="G253" s="75">
        <f>'Энергосбережение и повышение'!G72+'Чистая вода '!G29+'Комплексное благоустройство'!G93+'Капитальный ремонт '!G16</f>
        <v>4013055.8200000003</v>
      </c>
      <c r="H253" s="75">
        <f>'Энергосбережение и повышение'!H72+'Чистая вода '!H29+'Комплексное благоустройство'!H93+'Капитальный ремонт '!H16</f>
        <v>1789470</v>
      </c>
      <c r="I253" s="75">
        <f>'Энергосбережение и повышение'!I72+'Чистая вода '!I29+'Комплексное благоустройство'!I93+'Капитальный ремонт '!I16</f>
        <v>2223585.8200000003</v>
      </c>
      <c r="J253" s="5"/>
      <c r="K253" s="5"/>
    </row>
    <row r="254" spans="1:11" s="6" customFormat="1" ht="14.25" x14ac:dyDescent="0.2">
      <c r="A254" s="5"/>
      <c r="B254" s="207"/>
      <c r="C254" s="208"/>
      <c r="D254" s="208"/>
      <c r="E254" s="209"/>
      <c r="F254" s="51">
        <v>2016</v>
      </c>
      <c r="G254" s="75">
        <f>'Энергосбережение и повышение'!G73+'Чистая вода '!G30+'Комплексное благоустройство'!G94+'Капитальный ремонт '!G17</f>
        <v>68391209.969999999</v>
      </c>
      <c r="H254" s="75">
        <f>'Энергосбережение и повышение'!H73+'Чистая вода '!H30+'Комплексное благоустройство'!H94+'Капитальный ремонт '!H17</f>
        <v>381960</v>
      </c>
      <c r="I254" s="75">
        <f>'Энергосбережение и повышение'!I73+'Чистая вода '!I30+'Комплексное благоустройство'!I94+'Капитальный ремонт '!I17</f>
        <v>68009249.969999999</v>
      </c>
      <c r="J254" s="5"/>
      <c r="K254" s="5"/>
    </row>
    <row r="255" spans="1:11" s="6" customFormat="1" ht="14.25" x14ac:dyDescent="0.2">
      <c r="A255" s="5"/>
      <c r="B255" s="207"/>
      <c r="C255" s="208"/>
      <c r="D255" s="208"/>
      <c r="E255" s="209"/>
      <c r="F255" s="51">
        <v>2017</v>
      </c>
      <c r="G255" s="75">
        <f>'Энергосбережение и повышение'!G74+'Чистая вода '!G31+'Комплексное благоустройство'!G95+'Капитальный ремонт '!G18</f>
        <v>69614312.200000003</v>
      </c>
      <c r="H255" s="75">
        <f>'Энергосбережение и повышение'!H74+'Чистая вода '!H31+'Комплексное благоустройство'!H95+'Капитальный ремонт '!H18</f>
        <v>891190</v>
      </c>
      <c r="I255" s="75">
        <f>'Энергосбережение и повышение'!I74+'Чистая вода '!I31+'Комплексное благоустройство'!I95+'Капитальный ремонт '!I18</f>
        <v>68723122.200000003</v>
      </c>
      <c r="J255" s="5"/>
      <c r="K255" s="5"/>
    </row>
    <row r="256" spans="1:11" s="6" customFormat="1" ht="14.25" x14ac:dyDescent="0.2">
      <c r="A256" s="5"/>
      <c r="B256" s="207"/>
      <c r="C256" s="208"/>
      <c r="D256" s="208"/>
      <c r="E256" s="209"/>
      <c r="F256" s="51">
        <v>2018</v>
      </c>
      <c r="G256" s="75">
        <f>'Энергосбережение и повышение'!G75+'Чистая вода '!G32+'Комплексное благоустройство'!G96+'Капитальный ремонт '!G19</f>
        <v>127329832.19</v>
      </c>
      <c r="H256" s="75">
        <f>'Энергосбережение и повышение'!H75+'Чистая вода '!H32+'Комплексное благоустройство'!H96+'Капитальный ремонт '!H19</f>
        <v>10624080</v>
      </c>
      <c r="I256" s="75">
        <f>'Энергосбережение и повышение'!I75+'Чистая вода '!I32+'Комплексное благоустройство'!I96+'Капитальный ремонт '!I19</f>
        <v>116705752.19</v>
      </c>
      <c r="J256" s="5"/>
      <c r="K256" s="5"/>
    </row>
    <row r="257" spans="1:11" s="6" customFormat="1" ht="14.25" x14ac:dyDescent="0.2">
      <c r="A257" s="5"/>
      <c r="B257" s="207"/>
      <c r="C257" s="208"/>
      <c r="D257" s="208"/>
      <c r="E257" s="209"/>
      <c r="F257" s="51">
        <v>2019</v>
      </c>
      <c r="G257" s="75">
        <f>'Энергосбережение и повышение'!G76+'Чистая вода '!G33+'Комплексное благоустройство'!G97+'Капитальный ремонт '!G20</f>
        <v>140247107.88</v>
      </c>
      <c r="H257" s="75">
        <f>'Энергосбережение и повышение'!H76+'Чистая вода '!H33+'Комплексное благоустройство'!H97+'Капитальный ремонт '!H20</f>
        <v>4858444</v>
      </c>
      <c r="I257" s="75">
        <f>'Энергосбережение и повышение'!I76+'Чистая вода '!I33+'Комплексное благоустройство'!I97+'Капитальный ремонт '!I20</f>
        <v>135388663.88</v>
      </c>
      <c r="J257" s="5"/>
      <c r="K257" s="5"/>
    </row>
    <row r="258" spans="1:11" s="6" customFormat="1" ht="14.25" x14ac:dyDescent="0.2">
      <c r="A258" s="5"/>
      <c r="B258" s="207"/>
      <c r="C258" s="208"/>
      <c r="D258" s="208"/>
      <c r="E258" s="209"/>
      <c r="F258" s="51">
        <v>2020</v>
      </c>
      <c r="G258" s="75">
        <f>'Энергосбережение и повышение'!G77+'Чистая вода '!G34+'Комплексное благоустройство'!G98+'Капитальный ремонт '!G21</f>
        <v>103700891.93000001</v>
      </c>
      <c r="H258" s="75">
        <f>'Энергосбережение и повышение'!H77+'Чистая вода '!H34+'Комплексное благоустройство'!H98+'Капитальный ремонт '!H21</f>
        <v>275770</v>
      </c>
      <c r="I258" s="75">
        <f>'Энергосбережение и повышение'!I77+'Чистая вода '!I34+'Комплексное благоустройство'!I98+'Капитальный ремонт '!I21</f>
        <v>103425121.93000001</v>
      </c>
      <c r="J258" s="5"/>
      <c r="K258" s="5"/>
    </row>
    <row r="259" spans="1:11" s="6" customFormat="1" ht="14.25" x14ac:dyDescent="0.2">
      <c r="A259" s="5"/>
      <c r="B259" s="207"/>
      <c r="C259" s="208"/>
      <c r="D259" s="208"/>
      <c r="E259" s="209"/>
      <c r="F259" s="51">
        <v>2021</v>
      </c>
      <c r="G259" s="75">
        <f>'Энергосбережение и повышение'!G78+'Чистая вода '!G35+'Комплексное благоустройство'!G99+'Капитальный ремонт '!G22</f>
        <v>38442126.460000001</v>
      </c>
      <c r="H259" s="75">
        <f>'Энергосбережение и повышение'!H78+'Чистая вода '!H35+'Комплексное благоустройство'!H99+'Капитальный ремонт '!H22</f>
        <v>614600</v>
      </c>
      <c r="I259" s="75">
        <f>'Энергосбережение и повышение'!I78+'Чистая вода '!I35+'Комплексное благоустройство'!I99+'Капитальный ремонт '!I22</f>
        <v>37827526.460000001</v>
      </c>
      <c r="J259" s="5"/>
      <c r="K259" s="5"/>
    </row>
    <row r="260" spans="1:11" s="6" customFormat="1" ht="14.25" x14ac:dyDescent="0.2">
      <c r="A260" s="5"/>
      <c r="B260" s="207"/>
      <c r="C260" s="208"/>
      <c r="D260" s="208"/>
      <c r="E260" s="209"/>
      <c r="F260" s="51">
        <v>2022</v>
      </c>
      <c r="G260" s="75">
        <f>H260+I260</f>
        <v>36222005.329999998</v>
      </c>
      <c r="H260" s="75">
        <f>'Энергосбережение и повышение'!H79+'Чистая вода '!H36+'Комплексное благоустройство'!H100+'Капитальный ремонт '!H23</f>
        <v>491700</v>
      </c>
      <c r="I260" s="75">
        <f>'Энергосбережение и повышение'!I79+'Чистая вода '!I36+'Комплексное благоустройство'!I100+'Капитальный ремонт '!I23</f>
        <v>35730305.329999998</v>
      </c>
      <c r="J260" s="5"/>
      <c r="K260" s="5"/>
    </row>
    <row r="261" spans="1:11" s="6" customFormat="1" ht="14.25" x14ac:dyDescent="0.2">
      <c r="A261" s="5"/>
      <c r="B261" s="207"/>
      <c r="C261" s="208"/>
      <c r="D261" s="208"/>
      <c r="E261" s="209"/>
      <c r="F261" s="51">
        <v>2023</v>
      </c>
      <c r="G261" s="75">
        <f>'Энергосбережение и повышение'!G80+'Чистая вода '!G37+'Комплексное благоустройство'!G101+'Капитальный ремонт '!G24</f>
        <v>29635769.890000001</v>
      </c>
      <c r="H261" s="75">
        <f>'Энергосбережение и повышение'!H80+'Чистая вода '!H37+'Комплексное благоустройство'!H101+'Капитальный ремонт '!H24</f>
        <v>491700</v>
      </c>
      <c r="I261" s="75">
        <f>'Энергосбережение и повышение'!I80+'Чистая вода '!I37+'Комплексное благоустройство'!I101+'Капитальный ремонт '!I24</f>
        <v>29144069.890000001</v>
      </c>
      <c r="J261" s="5"/>
      <c r="K261" s="5"/>
    </row>
    <row r="262" spans="1:11" x14ac:dyDescent="0.25">
      <c r="A262" s="2"/>
      <c r="B262" s="207"/>
      <c r="C262" s="208"/>
      <c r="D262" s="208"/>
      <c r="E262" s="209"/>
      <c r="F262" s="51">
        <v>2024</v>
      </c>
      <c r="G262" s="75">
        <f>'Энергосбережение и повышение'!G81+'Чистая вода '!G38+'Комплексное благоустройство'!G102+'Капитальный ремонт '!G25</f>
        <v>0</v>
      </c>
      <c r="H262" s="75">
        <f>'Энергосбережение и повышение'!H81+'Чистая вода '!H38+'Комплексное благоустройство'!H102+'Капитальный ремонт '!H25</f>
        <v>0</v>
      </c>
      <c r="I262" s="75">
        <f>'Энергосбережение и повышение'!I81+'Чистая вода '!I38+'Комплексное благоустройство'!I102+'Капитальный ремонт '!I25</f>
        <v>0</v>
      </c>
      <c r="J262" s="2"/>
      <c r="K262" s="2"/>
    </row>
    <row r="263" spans="1:11" x14ac:dyDescent="0.25">
      <c r="A263" s="2"/>
      <c r="B263" s="207"/>
      <c r="C263" s="208"/>
      <c r="D263" s="208"/>
      <c r="E263" s="209"/>
      <c r="F263" s="51">
        <v>2025</v>
      </c>
      <c r="G263" s="75">
        <f>'Энергосбережение и повышение'!G82+'Чистая вода '!G39+'Комплексное благоустройство'!G103+'Капитальный ремонт '!G26</f>
        <v>0</v>
      </c>
      <c r="H263" s="75">
        <f>'Энергосбережение и повышение'!H82+'Чистая вода '!H39+'Комплексное благоустройство'!H103+'Капитальный ремонт '!H26</f>
        <v>0</v>
      </c>
      <c r="I263" s="75">
        <f>'Энергосбережение и повышение'!I82+'Чистая вода '!I39+'Комплексное благоустройство'!I103+'Капитальный ремонт '!I26</f>
        <v>0</v>
      </c>
      <c r="J263" s="2"/>
      <c r="K263" s="2"/>
    </row>
    <row r="264" spans="1:11" x14ac:dyDescent="0.25">
      <c r="A264" s="2"/>
      <c r="B264" s="210"/>
      <c r="C264" s="211"/>
      <c r="D264" s="211"/>
      <c r="E264" s="212"/>
      <c r="F264" s="49"/>
      <c r="G264" s="65"/>
      <c r="H264" s="65"/>
      <c r="I264" s="65"/>
      <c r="J264" s="2"/>
      <c r="K264" s="2"/>
    </row>
    <row r="265" spans="1:11" x14ac:dyDescent="0.25">
      <c r="G265" s="76"/>
      <c r="H265" s="76"/>
      <c r="I265" s="76"/>
    </row>
    <row r="266" spans="1:11" x14ac:dyDescent="0.25">
      <c r="G266" s="76"/>
      <c r="H266" s="76"/>
      <c r="I266" s="76"/>
    </row>
    <row r="267" spans="1:11" x14ac:dyDescent="0.25">
      <c r="G267" s="76"/>
      <c r="H267" s="76"/>
      <c r="I267" s="76"/>
    </row>
    <row r="268" spans="1:11" x14ac:dyDescent="0.25">
      <c r="G268" s="76">
        <f>SUM(G252:G263)</f>
        <v>625189401.67000008</v>
      </c>
      <c r="H268" s="76">
        <f t="shared" ref="H268:I268" si="13">SUM(H252:H263)</f>
        <v>27377429</v>
      </c>
      <c r="I268" s="76">
        <f t="shared" si="13"/>
        <v>597811972.66999996</v>
      </c>
    </row>
    <row r="269" spans="1:11" x14ac:dyDescent="0.25">
      <c r="G269" s="76"/>
      <c r="H269" s="76"/>
      <c r="I269" s="76"/>
    </row>
    <row r="270" spans="1:11" x14ac:dyDescent="0.25">
      <c r="G270" s="76"/>
    </row>
  </sheetData>
  <mergeCells count="173">
    <mergeCell ref="B252:E264"/>
    <mergeCell ref="B232:E232"/>
    <mergeCell ref="B233:E233"/>
    <mergeCell ref="B234:E234"/>
    <mergeCell ref="B227:E227"/>
    <mergeCell ref="B228:E228"/>
    <mergeCell ref="B229:E229"/>
    <mergeCell ref="B230:E230"/>
    <mergeCell ref="B231:E231"/>
    <mergeCell ref="B238:E249"/>
    <mergeCell ref="A224:K224"/>
    <mergeCell ref="B225:E225"/>
    <mergeCell ref="B226:E226"/>
    <mergeCell ref="B207:E207"/>
    <mergeCell ref="B208:E208"/>
    <mergeCell ref="B211:E211"/>
    <mergeCell ref="B202:E202"/>
    <mergeCell ref="B203:E203"/>
    <mergeCell ref="B204:E204"/>
    <mergeCell ref="B205:E205"/>
    <mergeCell ref="B206:E206"/>
    <mergeCell ref="B212:E223"/>
    <mergeCell ref="B194:E194"/>
    <mergeCell ref="B195:E195"/>
    <mergeCell ref="B199:E199"/>
    <mergeCell ref="B200:E200"/>
    <mergeCell ref="B201:E201"/>
    <mergeCell ref="B189:E189"/>
    <mergeCell ref="B190:E190"/>
    <mergeCell ref="B191:E191"/>
    <mergeCell ref="B192:E192"/>
    <mergeCell ref="B193:E193"/>
    <mergeCell ref="B181:E181"/>
    <mergeCell ref="B182:E182"/>
    <mergeCell ref="B186:E186"/>
    <mergeCell ref="B187:E187"/>
    <mergeCell ref="B188:E188"/>
    <mergeCell ref="B176:E176"/>
    <mergeCell ref="B177:E177"/>
    <mergeCell ref="B178:E178"/>
    <mergeCell ref="B179:E179"/>
    <mergeCell ref="B180:E180"/>
    <mergeCell ref="B168:E168"/>
    <mergeCell ref="B169:E169"/>
    <mergeCell ref="B173:E173"/>
    <mergeCell ref="B174:E174"/>
    <mergeCell ref="B175:E175"/>
    <mergeCell ref="B163:E163"/>
    <mergeCell ref="B164:E164"/>
    <mergeCell ref="B165:E165"/>
    <mergeCell ref="B166:E166"/>
    <mergeCell ref="B167:E167"/>
    <mergeCell ref="B155:E155"/>
    <mergeCell ref="B156:E156"/>
    <mergeCell ref="B160:E160"/>
    <mergeCell ref="B161:E161"/>
    <mergeCell ref="B162:E162"/>
    <mergeCell ref="B150:E150"/>
    <mergeCell ref="B151:E151"/>
    <mergeCell ref="B152:E152"/>
    <mergeCell ref="B153:E153"/>
    <mergeCell ref="B154:E154"/>
    <mergeCell ref="B142:E142"/>
    <mergeCell ref="B143:E143"/>
    <mergeCell ref="B147:E147"/>
    <mergeCell ref="B148:E148"/>
    <mergeCell ref="B149:E149"/>
    <mergeCell ref="B137:E137"/>
    <mergeCell ref="B138:E138"/>
    <mergeCell ref="B139:E139"/>
    <mergeCell ref="B140:E140"/>
    <mergeCell ref="B141:E141"/>
    <mergeCell ref="B88:E88"/>
    <mergeCell ref="B96:E96"/>
    <mergeCell ref="B97:E97"/>
    <mergeCell ref="B98:E98"/>
    <mergeCell ref="B130:E130"/>
    <mergeCell ref="B131:E131"/>
    <mergeCell ref="B135:E135"/>
    <mergeCell ref="B136:E136"/>
    <mergeCell ref="A121:K121"/>
    <mergeCell ref="B125:E125"/>
    <mergeCell ref="B126:E126"/>
    <mergeCell ref="B127:E127"/>
    <mergeCell ref="B128:E128"/>
    <mergeCell ref="B129:E129"/>
    <mergeCell ref="B124:E124"/>
    <mergeCell ref="B123:E123"/>
    <mergeCell ref="B122:E122"/>
    <mergeCell ref="B99:E99"/>
    <mergeCell ref="B100:E100"/>
    <mergeCell ref="B101:E101"/>
    <mergeCell ref="B102:E102"/>
    <mergeCell ref="B103:E103"/>
    <mergeCell ref="B104:E104"/>
    <mergeCell ref="B58:E58"/>
    <mergeCell ref="B50:E50"/>
    <mergeCell ref="B49:E49"/>
    <mergeCell ref="B45:E45"/>
    <mergeCell ref="B46:E46"/>
    <mergeCell ref="B47:E47"/>
    <mergeCell ref="B48:E48"/>
    <mergeCell ref="B64:E64"/>
    <mergeCell ref="B65:E65"/>
    <mergeCell ref="B66:E66"/>
    <mergeCell ref="B69:E69"/>
    <mergeCell ref="B59:E59"/>
    <mergeCell ref="B60:E60"/>
    <mergeCell ref="B61:E61"/>
    <mergeCell ref="B62:E62"/>
    <mergeCell ref="B63:E63"/>
    <mergeCell ref="A82:K82"/>
    <mergeCell ref="F13:F14"/>
    <mergeCell ref="B20:E20"/>
    <mergeCell ref="B24:E24"/>
    <mergeCell ref="B17:E17"/>
    <mergeCell ref="B18:E18"/>
    <mergeCell ref="B19:E19"/>
    <mergeCell ref="B13:E13"/>
    <mergeCell ref="F16:F19"/>
    <mergeCell ref="B21:E21"/>
    <mergeCell ref="B22:E22"/>
    <mergeCell ref="B23:E23"/>
    <mergeCell ref="F20:F23"/>
    <mergeCell ref="F24:F27"/>
    <mergeCell ref="B26:E26"/>
    <mergeCell ref="B27:E27"/>
    <mergeCell ref="B25:E25"/>
    <mergeCell ref="K3:K5"/>
    <mergeCell ref="J1:K1"/>
    <mergeCell ref="B8:E8"/>
    <mergeCell ref="B9:E9"/>
    <mergeCell ref="A3:J3"/>
    <mergeCell ref="G4:J4"/>
    <mergeCell ref="F4:F5"/>
    <mergeCell ref="B4:E5"/>
    <mergeCell ref="A4:A5"/>
    <mergeCell ref="A6:K6"/>
    <mergeCell ref="A7:K7"/>
    <mergeCell ref="B31:E31"/>
    <mergeCell ref="B10:E10"/>
    <mergeCell ref="B70:E81"/>
    <mergeCell ref="B109:E120"/>
    <mergeCell ref="B28:E28"/>
    <mergeCell ref="B29:E29"/>
    <mergeCell ref="B30:E30"/>
    <mergeCell ref="B38:E38"/>
    <mergeCell ref="B39:E39"/>
    <mergeCell ref="B40:E40"/>
    <mergeCell ref="B41:E41"/>
    <mergeCell ref="B42:E42"/>
    <mergeCell ref="B43:E43"/>
    <mergeCell ref="B11:E11"/>
    <mergeCell ref="B12:E12"/>
    <mergeCell ref="B15:E15"/>
    <mergeCell ref="B16:E16"/>
    <mergeCell ref="B44:E44"/>
    <mergeCell ref="B14:E14"/>
    <mergeCell ref="B105:E105"/>
    <mergeCell ref="B83:E83"/>
    <mergeCell ref="B84:E84"/>
    <mergeCell ref="B86:E86"/>
    <mergeCell ref="B87:E87"/>
    <mergeCell ref="B37:E37"/>
    <mergeCell ref="B51:E51"/>
    <mergeCell ref="B52:E52"/>
    <mergeCell ref="B53:E53"/>
    <mergeCell ref="B57:E57"/>
    <mergeCell ref="B32:E32"/>
    <mergeCell ref="B33:E33"/>
    <mergeCell ref="B34:E34"/>
    <mergeCell ref="B36:E36"/>
    <mergeCell ref="B35:E35"/>
  </mergeCells>
  <pageMargins left="0.70866141732283472" right="0.70866141732283472" top="0.74803149606299213" bottom="0.74803149606299213" header="0.31496062992125984" footer="0.31496062992125984"/>
  <pageSetup paperSize="9" scale="78"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Энергосбережение и повышение</vt:lpstr>
      <vt:lpstr>Чистая вода </vt:lpstr>
      <vt:lpstr>Комплексное благоустройство</vt:lpstr>
      <vt:lpstr>Капитальный ремонт </vt:lpstr>
      <vt:lpstr>Итого</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2021-07-06T00:01:46Z</dcterms:modified>
</cp:coreProperties>
</file>